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\Desktop\"/>
    </mc:Choice>
  </mc:AlternateContent>
  <xr:revisionPtr revIDLastSave="0" documentId="13_ncr:1_{379757A7-A83D-4C79-8703-52E2E07085A4}" xr6:coauthVersionLast="36" xr6:coauthVersionMax="47" xr10:uidLastSave="{00000000-0000-0000-0000-000000000000}"/>
  <bookViews>
    <workbookView xWindow="0" yWindow="0" windowWidth="17295" windowHeight="9450" tabRatio="972" activeTab="11" xr2:uid="{00000000-000D-0000-FFFF-FFFF00000000}"/>
  </bookViews>
  <sheets>
    <sheet name="Úvod" sheetId="1" r:id="rId1"/>
    <sheet name="P1 N a V" sheetId="5" r:id="rId2"/>
    <sheet name="P1a N (AU)" sheetId="15" r:id="rId3"/>
    <sheet name="P1b N a V (služby)" sheetId="10" state="hidden" r:id="rId4"/>
    <sheet name="P1c N (služby celkem)" sheetId="13" state="hidden" r:id="rId5"/>
    <sheet name="P2 Bilance fondů" sheetId="6" r:id="rId6"/>
    <sheet name="P3 Doplň. ukazatele" sheetId="7" r:id="rId7"/>
    <sheet name="P3a Doplň. ukazatele (mzdy)" sheetId="8" r:id="rId8"/>
    <sheet name="Mzdy" sheetId="14" state="hidden" r:id="rId9"/>
    <sheet name="P4 Plán - investice" sheetId="9" r:id="rId10"/>
    <sheet name="P5 Plán - odpisy" sheetId="11" r:id="rId11"/>
    <sheet name="P6 Výhled 2025-2027" sheetId="12" r:id="rId12"/>
  </sheets>
  <definedNames>
    <definedName name="Doplňte_název_organizace" localSheetId="0">Úvod!$B$7</definedName>
    <definedName name="_xlnm.Print_Area" localSheetId="1">'P1 N a V'!$A$1:$G$93</definedName>
    <definedName name="_xlnm.Print_Area" localSheetId="2">'P1a N (AU)'!$A$1:$E$72</definedName>
    <definedName name="_xlnm.Print_Area" localSheetId="5">'P2 Bilance fondů'!$A$1:$C$43</definedName>
    <definedName name="_xlnm.Print_Area" localSheetId="7">'P3a Doplň. ukazatele (mzdy)'!$A$1:$E$21</definedName>
    <definedName name="_xlnm.Print_Area" localSheetId="9">'P4 Plán - investice'!$A$1:$G$31</definedName>
    <definedName name="_xlnm.Print_Area" localSheetId="11">'P6 Výhled 2025-2027'!$A$1:$G$108</definedName>
  </definedNames>
  <calcPr calcId="191029"/>
</workbook>
</file>

<file path=xl/calcChain.xml><?xml version="1.0" encoding="utf-8"?>
<calcChain xmlns="http://schemas.openxmlformats.org/spreadsheetml/2006/main">
  <c r="G17" i="12" l="1"/>
  <c r="G89" i="12"/>
  <c r="C8" i="7"/>
  <c r="C27" i="7"/>
  <c r="C30" i="6"/>
  <c r="G89" i="5"/>
  <c r="F20" i="12" l="1"/>
  <c r="F19" i="12"/>
  <c r="F18" i="12"/>
  <c r="G90" i="12" l="1"/>
  <c r="G80" i="12"/>
  <c r="G57" i="12"/>
  <c r="G50" i="12"/>
  <c r="G45" i="12"/>
  <c r="E86" i="12"/>
  <c r="F86" i="12" s="1"/>
  <c r="G86" i="12" s="1"/>
  <c r="E85" i="12"/>
  <c r="E84" i="12"/>
  <c r="F84" i="12" s="1"/>
  <c r="G84" i="12" s="1"/>
  <c r="E83" i="12"/>
  <c r="E81" i="12"/>
  <c r="F81" i="12" s="1"/>
  <c r="G81" i="12" s="1"/>
  <c r="E80" i="12"/>
  <c r="E79" i="12"/>
  <c r="E78" i="12"/>
  <c r="F78" i="12" s="1"/>
  <c r="G78" i="12" s="1"/>
  <c r="E77" i="12"/>
  <c r="F77" i="12" s="1"/>
  <c r="G77" i="12" s="1"/>
  <c r="E76" i="12"/>
  <c r="E75" i="12"/>
  <c r="E74" i="12"/>
  <c r="F74" i="12" s="1"/>
  <c r="G74" i="12" s="1"/>
  <c r="E73" i="12"/>
  <c r="F73" i="12" s="1"/>
  <c r="G73" i="12" s="1"/>
  <c r="E71" i="12"/>
  <c r="E70" i="12"/>
  <c r="E69" i="12"/>
  <c r="F69" i="12" s="1"/>
  <c r="G69" i="12" s="1"/>
  <c r="E68" i="12"/>
  <c r="F68" i="12" s="1"/>
  <c r="G68" i="12" s="1"/>
  <c r="E66" i="12"/>
  <c r="E65" i="12"/>
  <c r="E64" i="12"/>
  <c r="F64" i="12" s="1"/>
  <c r="G64" i="12" s="1"/>
  <c r="E63" i="12"/>
  <c r="F63" i="12" s="1"/>
  <c r="G63" i="12" s="1"/>
  <c r="E61" i="12"/>
  <c r="F61" i="12" s="1"/>
  <c r="G61" i="12" s="1"/>
  <c r="E60" i="12"/>
  <c r="E59" i="12"/>
  <c r="F59" i="12" s="1"/>
  <c r="G59" i="12" s="1"/>
  <c r="E58" i="12"/>
  <c r="G58" i="12" s="1"/>
  <c r="E57" i="12"/>
  <c r="E54" i="12"/>
  <c r="E53" i="12"/>
  <c r="E51" i="12"/>
  <c r="F51" i="12" s="1"/>
  <c r="G51" i="12" s="1"/>
  <c r="E50" i="12"/>
  <c r="E49" i="12"/>
  <c r="E47" i="12"/>
  <c r="F47" i="12" s="1"/>
  <c r="G47" i="12" s="1"/>
  <c r="E46" i="12"/>
  <c r="E45" i="12"/>
  <c r="F45" i="12" s="1"/>
  <c r="E44" i="12"/>
  <c r="E41" i="12"/>
  <c r="F41" i="12" s="1"/>
  <c r="G41" i="12" s="1"/>
  <c r="E40" i="12"/>
  <c r="F40" i="12" s="1"/>
  <c r="G40" i="12" s="1"/>
  <c r="E39" i="12"/>
  <c r="E38" i="12"/>
  <c r="E37" i="12"/>
  <c r="F37" i="12" s="1"/>
  <c r="G37" i="12" s="1"/>
  <c r="E36" i="12"/>
  <c r="F36" i="12" s="1"/>
  <c r="G36" i="12" s="1"/>
  <c r="E35" i="12"/>
  <c r="E32" i="12"/>
  <c r="E31" i="12"/>
  <c r="F31" i="12" s="1"/>
  <c r="G31" i="12" s="1"/>
  <c r="E30" i="12"/>
  <c r="F30" i="12" s="1"/>
  <c r="G30" i="12" s="1"/>
  <c r="E29" i="12"/>
  <c r="E28" i="12"/>
  <c r="E27" i="12"/>
  <c r="F27" i="12" s="1"/>
  <c r="G27" i="12" s="1"/>
  <c r="E24" i="12"/>
  <c r="F24" i="12" s="1"/>
  <c r="G24" i="12" s="1"/>
  <c r="E23" i="12"/>
  <c r="E21" i="12"/>
  <c r="E14" i="12"/>
  <c r="F14" i="12" s="1"/>
  <c r="G14" i="12" s="1"/>
  <c r="E13" i="12"/>
  <c r="F13" i="12" s="1"/>
  <c r="G13" i="12" s="1"/>
  <c r="E10" i="12"/>
  <c r="E9" i="12"/>
  <c r="F9" i="12" s="1"/>
  <c r="G9" i="12" s="1"/>
  <c r="E92" i="12"/>
  <c r="F92" i="12" s="1"/>
  <c r="G92" i="12" s="1"/>
  <c r="E91" i="12"/>
  <c r="E90" i="12"/>
  <c r="E89" i="12"/>
  <c r="F89" i="12" s="1"/>
  <c r="F85" i="12"/>
  <c r="G85" i="12" s="1"/>
  <c r="F83" i="12"/>
  <c r="G83" i="12" s="1"/>
  <c r="F79" i="12"/>
  <c r="G79" i="12" s="1"/>
  <c r="F76" i="12"/>
  <c r="G76" i="12" s="1"/>
  <c r="F75" i="12"/>
  <c r="G75" i="12" s="1"/>
  <c r="F71" i="12"/>
  <c r="G71" i="12" s="1"/>
  <c r="F70" i="12"/>
  <c r="G70" i="12" s="1"/>
  <c r="F66" i="12"/>
  <c r="G66" i="12" s="1"/>
  <c r="F65" i="12"/>
  <c r="G65" i="12" s="1"/>
  <c r="F60" i="12"/>
  <c r="G60" i="12" s="1"/>
  <c r="F57" i="12"/>
  <c r="F54" i="12"/>
  <c r="G54" i="12" s="1"/>
  <c r="F53" i="12"/>
  <c r="G53" i="12" s="1"/>
  <c r="F50" i="12"/>
  <c r="F49" i="12"/>
  <c r="G49" i="12" s="1"/>
  <c r="F46" i="12"/>
  <c r="G46" i="12" s="1"/>
  <c r="F44" i="12"/>
  <c r="G44" i="12" s="1"/>
  <c r="F39" i="12"/>
  <c r="G39" i="12" s="1"/>
  <c r="F38" i="12"/>
  <c r="G38" i="12" s="1"/>
  <c r="F32" i="12"/>
  <c r="G32" i="12" s="1"/>
  <c r="F29" i="12"/>
  <c r="G29" i="12" s="1"/>
  <c r="F28" i="12"/>
  <c r="G28" i="12" s="1"/>
  <c r="F23" i="12"/>
  <c r="G23" i="12" s="1"/>
  <c r="F21" i="12"/>
  <c r="G21" i="12" s="1"/>
  <c r="F10" i="12"/>
  <c r="G10" i="12" s="1"/>
  <c r="F87" i="12" l="1"/>
  <c r="C13" i="8"/>
  <c r="E6" i="5" l="1"/>
  <c r="D6" i="15"/>
  <c r="G7" i="5" s="1"/>
  <c r="E7" i="12" s="1"/>
  <c r="G7" i="12" s="1"/>
  <c r="A2" i="15"/>
  <c r="F6" i="5"/>
  <c r="A2" i="5"/>
  <c r="G6" i="11"/>
  <c r="G17" i="11" s="1"/>
  <c r="G87" i="12"/>
  <c r="G82" i="12"/>
  <c r="F82" i="12"/>
  <c r="E82" i="12"/>
  <c r="G72" i="12"/>
  <c r="F72" i="12"/>
  <c r="E72" i="12"/>
  <c r="G67" i="12"/>
  <c r="F67" i="12"/>
  <c r="E67" i="12"/>
  <c r="F62" i="12"/>
  <c r="G62" i="12"/>
  <c r="E62" i="12"/>
  <c r="G56" i="12"/>
  <c r="F56" i="12"/>
  <c r="E56" i="12"/>
  <c r="G52" i="12"/>
  <c r="F52" i="12"/>
  <c r="E52" i="12"/>
  <c r="G48" i="12"/>
  <c r="F48" i="12"/>
  <c r="E48" i="12"/>
  <c r="G43" i="12"/>
  <c r="F43" i="12"/>
  <c r="E43" i="12"/>
  <c r="C14" i="11"/>
  <c r="I7" i="11"/>
  <c r="H6" i="11"/>
  <c r="D14" i="11"/>
  <c r="D6" i="11"/>
  <c r="D17" i="11" s="1"/>
  <c r="C6" i="11"/>
  <c r="G15" i="9"/>
  <c r="G21" i="9"/>
  <c r="F15" i="9"/>
  <c r="F29" i="9" s="1"/>
  <c r="F21" i="9"/>
  <c r="E15" i="9"/>
  <c r="E21" i="9"/>
  <c r="D21" i="9"/>
  <c r="D15" i="9"/>
  <c r="C15" i="9"/>
  <c r="C21" i="9"/>
  <c r="C29" i="9" s="1"/>
  <c r="C29" i="6" s="1"/>
  <c r="F10" i="9"/>
  <c r="E10" i="9"/>
  <c r="D10" i="9"/>
  <c r="C10" i="7" s="1"/>
  <c r="C10" i="9"/>
  <c r="C28" i="6" s="1"/>
  <c r="C10" i="8"/>
  <c r="C42" i="6"/>
  <c r="C11" i="7" s="1"/>
  <c r="C39" i="6"/>
  <c r="C43" i="6" s="1"/>
  <c r="C15" i="6"/>
  <c r="C16" i="6" s="1"/>
  <c r="C9" i="6"/>
  <c r="D62" i="15"/>
  <c r="G25" i="5"/>
  <c r="E25" i="12" s="1"/>
  <c r="F25" i="12" s="1"/>
  <c r="G25" i="12" s="1"/>
  <c r="G22" i="12" s="1"/>
  <c r="D70" i="15"/>
  <c r="G42" i="5" s="1"/>
  <c r="E42" i="12" s="1"/>
  <c r="F42" i="12" s="1"/>
  <c r="G42" i="12" s="1"/>
  <c r="G34" i="12" s="1"/>
  <c r="D66" i="15"/>
  <c r="D65" i="15" s="1"/>
  <c r="D45" i="15"/>
  <c r="G15" i="5" s="1"/>
  <c r="E15" i="12" s="1"/>
  <c r="G15" i="12" s="1"/>
  <c r="D29" i="15"/>
  <c r="G12" i="5" s="1"/>
  <c r="E12" i="12" s="1"/>
  <c r="D22" i="15"/>
  <c r="G8" i="5" s="1"/>
  <c r="E8" i="12" s="1"/>
  <c r="F8" i="12" s="1"/>
  <c r="G8" i="12" s="1"/>
  <c r="D10" i="8"/>
  <c r="D18" i="8" s="1"/>
  <c r="G17" i="5" s="1"/>
  <c r="E6" i="8"/>
  <c r="E7" i="8"/>
  <c r="E8" i="8"/>
  <c r="E9" i="8"/>
  <c r="E11" i="8"/>
  <c r="E12" i="8"/>
  <c r="E13" i="8"/>
  <c r="E14" i="8"/>
  <c r="E15" i="8"/>
  <c r="E16" i="8"/>
  <c r="E17" i="8"/>
  <c r="C18" i="8"/>
  <c r="C19" i="8" s="1"/>
  <c r="E20" i="8"/>
  <c r="E5" i="8"/>
  <c r="H14" i="11"/>
  <c r="H17" i="11" s="1"/>
  <c r="G14" i="11"/>
  <c r="G87" i="5"/>
  <c r="F56" i="5"/>
  <c r="F52" i="5"/>
  <c r="F16" i="5"/>
  <c r="E52" i="5"/>
  <c r="T6" i="14"/>
  <c r="AL6" i="14"/>
  <c r="AL20" i="14" s="1"/>
  <c r="T7" i="14"/>
  <c r="T20" i="14" s="1"/>
  <c r="AL7" i="14"/>
  <c r="T8" i="14"/>
  <c r="AL8" i="14"/>
  <c r="T9" i="14"/>
  <c r="AL9" i="14"/>
  <c r="T10" i="14"/>
  <c r="AL10" i="14"/>
  <c r="T11" i="14"/>
  <c r="AL11" i="14"/>
  <c r="T12" i="14"/>
  <c r="AL12" i="14"/>
  <c r="T13" i="14"/>
  <c r="AL13" i="14"/>
  <c r="T14" i="14"/>
  <c r="AL14" i="14"/>
  <c r="T15" i="14"/>
  <c r="AL15" i="14"/>
  <c r="T16" i="14"/>
  <c r="AL16" i="14"/>
  <c r="T17" i="14"/>
  <c r="AL17" i="14"/>
  <c r="A2" i="12"/>
  <c r="A2" i="11"/>
  <c r="A2" i="9"/>
  <c r="A2" i="8"/>
  <c r="A2" i="7"/>
  <c r="A2" i="6"/>
  <c r="A2" i="13"/>
  <c r="A2" i="10"/>
  <c r="D61" i="15"/>
  <c r="Q6" i="14"/>
  <c r="AA6" i="14" s="1"/>
  <c r="Y6" i="14"/>
  <c r="Y20" i="14" s="1"/>
  <c r="AE6" i="14"/>
  <c r="Q7" i="14"/>
  <c r="AC7" i="14" s="1"/>
  <c r="Y7" i="14"/>
  <c r="AA7" i="14"/>
  <c r="AG7" i="14" s="1"/>
  <c r="AH7" i="14" s="1"/>
  <c r="AE7" i="14"/>
  <c r="Q8" i="14"/>
  <c r="Y8" i="14"/>
  <c r="AA8" i="14"/>
  <c r="AG8" i="14" s="1"/>
  <c r="AH8" i="14" s="1"/>
  <c r="AC8" i="14"/>
  <c r="AE8" i="14"/>
  <c r="Q9" i="14"/>
  <c r="Y9" i="14" s="1"/>
  <c r="Q10" i="14"/>
  <c r="AA10" i="14" s="1"/>
  <c r="Y10" i="14"/>
  <c r="Q11" i="14"/>
  <c r="AC11" i="14" s="1"/>
  <c r="Y11" i="14"/>
  <c r="AA11" i="14"/>
  <c r="AG11" i="14" s="1"/>
  <c r="AH11" i="14" s="1"/>
  <c r="AE11" i="14"/>
  <c r="Q12" i="14"/>
  <c r="Y12" i="14"/>
  <c r="AA12" i="14"/>
  <c r="AG12" i="14" s="1"/>
  <c r="AH12" i="14" s="1"/>
  <c r="AC12" i="14"/>
  <c r="AE12" i="14"/>
  <c r="Q13" i="14"/>
  <c r="Y13" i="14" s="1"/>
  <c r="Q14" i="14"/>
  <c r="AA14" i="14" s="1"/>
  <c r="Y14" i="14"/>
  <c r="Q15" i="14"/>
  <c r="AC15" i="14" s="1"/>
  <c r="Y15" i="14"/>
  <c r="AG15" i="14" s="1"/>
  <c r="AH15" i="14" s="1"/>
  <c r="AA15" i="14"/>
  <c r="AE15" i="14"/>
  <c r="Q16" i="14"/>
  <c r="Y16" i="14"/>
  <c r="AA16" i="14"/>
  <c r="AG16" i="14" s="1"/>
  <c r="AH16" i="14" s="1"/>
  <c r="AC16" i="14"/>
  <c r="AE16" i="14"/>
  <c r="Q17" i="14"/>
  <c r="Y17" i="14" s="1"/>
  <c r="V6" i="14"/>
  <c r="AN6" i="14" s="1"/>
  <c r="V7" i="14"/>
  <c r="AN7" i="14"/>
  <c r="V8" i="14"/>
  <c r="AN8" i="14" s="1"/>
  <c r="AM8" i="14" s="1"/>
  <c r="AQ8" i="14" s="1"/>
  <c r="V9" i="14"/>
  <c r="AN9" i="14"/>
  <c r="V10" i="14"/>
  <c r="AN10" i="14" s="1"/>
  <c r="AM10" i="14" s="1"/>
  <c r="AQ10" i="14" s="1"/>
  <c r="V11" i="14"/>
  <c r="AN11" i="14"/>
  <c r="V12" i="14"/>
  <c r="AN12" i="14" s="1"/>
  <c r="AM12" i="14" s="1"/>
  <c r="AQ12" i="14" s="1"/>
  <c r="V13" i="14"/>
  <c r="AN13" i="14"/>
  <c r="V14" i="14"/>
  <c r="AN14" i="14" s="1"/>
  <c r="AM14" i="14" s="1"/>
  <c r="AQ14" i="14" s="1"/>
  <c r="V15" i="14"/>
  <c r="AN15" i="14"/>
  <c r="V16" i="14"/>
  <c r="AN16" i="14" s="1"/>
  <c r="AM16" i="14" s="1"/>
  <c r="AQ16" i="14" s="1"/>
  <c r="V17" i="14"/>
  <c r="AN17" i="14"/>
  <c r="W6" i="14"/>
  <c r="AO6" i="14"/>
  <c r="AO20" i="14" s="1"/>
  <c r="W7" i="14"/>
  <c r="W20" i="14" s="1"/>
  <c r="AO7" i="14"/>
  <c r="W8" i="14"/>
  <c r="AO8" i="14"/>
  <c r="W9" i="14"/>
  <c r="AO9" i="14"/>
  <c r="W10" i="14"/>
  <c r="AO10" i="14"/>
  <c r="W11" i="14"/>
  <c r="U11" i="14" s="1"/>
  <c r="AO11" i="14"/>
  <c r="AM11" i="14" s="1"/>
  <c r="W12" i="14"/>
  <c r="AO12" i="14"/>
  <c r="W13" i="14"/>
  <c r="AO13" i="14"/>
  <c r="W14" i="14"/>
  <c r="AO14" i="14"/>
  <c r="W15" i="14"/>
  <c r="AO15" i="14"/>
  <c r="W16" i="14"/>
  <c r="AO16" i="14"/>
  <c r="W17" i="14"/>
  <c r="AO17" i="14"/>
  <c r="X6" i="14"/>
  <c r="AP6" i="14"/>
  <c r="X7" i="14"/>
  <c r="AP7" i="14" s="1"/>
  <c r="X8" i="14"/>
  <c r="AP8" i="14"/>
  <c r="X9" i="14"/>
  <c r="AP9" i="14" s="1"/>
  <c r="AM9" i="14" s="1"/>
  <c r="X10" i="14"/>
  <c r="AP10" i="14"/>
  <c r="X11" i="14"/>
  <c r="AP11" i="14" s="1"/>
  <c r="X12" i="14"/>
  <c r="AP12" i="14"/>
  <c r="X13" i="14"/>
  <c r="AP13" i="14" s="1"/>
  <c r="AM13" i="14" s="1"/>
  <c r="X14" i="14"/>
  <c r="AP14" i="14"/>
  <c r="X15" i="14"/>
  <c r="AP15" i="14" s="1"/>
  <c r="X16" i="14"/>
  <c r="AP16" i="14"/>
  <c r="X17" i="14"/>
  <c r="AP17" i="14" s="1"/>
  <c r="AM17" i="14" s="1"/>
  <c r="L27" i="14"/>
  <c r="L28" i="14"/>
  <c r="L32" i="14" s="1"/>
  <c r="L29" i="14"/>
  <c r="L30" i="14"/>
  <c r="L40" i="14"/>
  <c r="F17" i="10"/>
  <c r="F26" i="10" s="1"/>
  <c r="E17" i="10"/>
  <c r="D17" i="10"/>
  <c r="E7" i="10"/>
  <c r="E26" i="10" s="1"/>
  <c r="D7" i="10"/>
  <c r="C20" i="6"/>
  <c r="G20" i="11"/>
  <c r="G30" i="11" s="1"/>
  <c r="G27" i="11"/>
  <c r="E88" i="12"/>
  <c r="H20" i="11"/>
  <c r="H30" i="11" s="1"/>
  <c r="H27" i="11"/>
  <c r="AK13" i="14"/>
  <c r="AK14" i="14"/>
  <c r="N22" i="14" s="1"/>
  <c r="AK15" i="14"/>
  <c r="AK16" i="14"/>
  <c r="AR20" i="14"/>
  <c r="AK6" i="14"/>
  <c r="M30" i="14"/>
  <c r="M29" i="14"/>
  <c r="M28" i="14"/>
  <c r="M32" i="14" s="1"/>
  <c r="M27" i="14"/>
  <c r="M38" i="14"/>
  <c r="M37" i="14"/>
  <c r="M40" i="14" s="1"/>
  <c r="M36" i="14"/>
  <c r="M35" i="14"/>
  <c r="J32" i="14"/>
  <c r="O22" i="14"/>
  <c r="AK17" i="14"/>
  <c r="AK12" i="14"/>
  <c r="AK11" i="14"/>
  <c r="AK20" i="14" s="1"/>
  <c r="AK10" i="14"/>
  <c r="M22" i="14" s="1"/>
  <c r="AK9" i="14"/>
  <c r="AK8" i="14"/>
  <c r="P22" i="14"/>
  <c r="AK7" i="14"/>
  <c r="J40" i="14"/>
  <c r="AD20" i="14"/>
  <c r="AB20" i="14"/>
  <c r="Z20" i="14"/>
  <c r="S20" i="14"/>
  <c r="R20" i="14"/>
  <c r="P20" i="14"/>
  <c r="O20" i="14"/>
  <c r="N20" i="14"/>
  <c r="M20" i="14"/>
  <c r="L20" i="14"/>
  <c r="K20" i="14"/>
  <c r="J20" i="14"/>
  <c r="U14" i="14"/>
  <c r="T23" i="14"/>
  <c r="U10" i="14"/>
  <c r="T22" i="14"/>
  <c r="U12" i="14"/>
  <c r="V20" i="14"/>
  <c r="C22" i="7"/>
  <c r="C21" i="7"/>
  <c r="C20" i="7"/>
  <c r="C13" i="7"/>
  <c r="H55" i="13"/>
  <c r="H53" i="13" s="1"/>
  <c r="H54" i="13"/>
  <c r="H52" i="13"/>
  <c r="H51" i="13"/>
  <c r="H50" i="13"/>
  <c r="H49" i="13" s="1"/>
  <c r="H48" i="13"/>
  <c r="H47" i="13"/>
  <c r="H46" i="13"/>
  <c r="H45" i="13"/>
  <c r="H44" i="13" s="1"/>
  <c r="H43" i="13"/>
  <c r="H42" i="13"/>
  <c r="H41" i="13"/>
  <c r="H40" i="13"/>
  <c r="H39" i="13"/>
  <c r="H38" i="13"/>
  <c r="H37" i="13"/>
  <c r="H36" i="13"/>
  <c r="H35" i="13" s="1"/>
  <c r="H34" i="13"/>
  <c r="H33" i="13"/>
  <c r="H32" i="13"/>
  <c r="H31" i="13"/>
  <c r="H27" i="13" s="1"/>
  <c r="H30" i="13"/>
  <c r="H29" i="13"/>
  <c r="H28" i="13"/>
  <c r="H26" i="13"/>
  <c r="H25" i="13"/>
  <c r="H24" i="13"/>
  <c r="H23" i="13" s="1"/>
  <c r="H22" i="13"/>
  <c r="H21" i="13"/>
  <c r="H20" i="13"/>
  <c r="H19" i="13"/>
  <c r="H18" i="13"/>
  <c r="H17" i="13" s="1"/>
  <c r="H16" i="13"/>
  <c r="H15" i="13"/>
  <c r="H14" i="13"/>
  <c r="H13" i="13"/>
  <c r="H12" i="13" s="1"/>
  <c r="H11" i="13"/>
  <c r="H7" i="13" s="1"/>
  <c r="H6" i="13" s="1"/>
  <c r="H10" i="13"/>
  <c r="H9" i="13"/>
  <c r="H8" i="13"/>
  <c r="G53" i="13"/>
  <c r="G49" i="13"/>
  <c r="G44" i="13"/>
  <c r="G35" i="13"/>
  <c r="G27" i="13"/>
  <c r="G23" i="13"/>
  <c r="G17" i="13"/>
  <c r="G12" i="13"/>
  <c r="G7" i="13"/>
  <c r="G6" i="13" s="1"/>
  <c r="F53" i="13"/>
  <c r="F49" i="13"/>
  <c r="F44" i="13"/>
  <c r="F35" i="13"/>
  <c r="F27" i="13"/>
  <c r="F23" i="13"/>
  <c r="F17" i="13"/>
  <c r="F6" i="13" s="1"/>
  <c r="F12" i="13"/>
  <c r="F7" i="13"/>
  <c r="E53" i="13"/>
  <c r="E49" i="13"/>
  <c r="E44" i="13"/>
  <c r="E35" i="13"/>
  <c r="E27" i="13"/>
  <c r="E23" i="13"/>
  <c r="E17" i="13"/>
  <c r="E12" i="13"/>
  <c r="E7" i="13"/>
  <c r="E6" i="13" s="1"/>
  <c r="I29" i="11"/>
  <c r="I28" i="11"/>
  <c r="I27" i="11"/>
  <c r="D27" i="11"/>
  <c r="C27" i="11"/>
  <c r="I26" i="11"/>
  <c r="I25" i="11"/>
  <c r="I24" i="11"/>
  <c r="I23" i="11"/>
  <c r="I22" i="11"/>
  <c r="I21" i="11"/>
  <c r="I20" i="11" s="1"/>
  <c r="I30" i="11" s="1"/>
  <c r="D20" i="11"/>
  <c r="D30" i="11" s="1"/>
  <c r="C20" i="11"/>
  <c r="C30" i="11" s="1"/>
  <c r="I16" i="11"/>
  <c r="I15" i="11"/>
  <c r="I13" i="11"/>
  <c r="I12" i="11"/>
  <c r="I11" i="11"/>
  <c r="I10" i="11"/>
  <c r="I9" i="11"/>
  <c r="I8" i="11"/>
  <c r="C9" i="7"/>
  <c r="F41" i="10"/>
  <c r="D41" i="10"/>
  <c r="D50" i="10" s="1"/>
  <c r="F31" i="10"/>
  <c r="D31" i="10"/>
  <c r="F7" i="10"/>
  <c r="E11" i="5"/>
  <c r="F11" i="5"/>
  <c r="E16" i="5"/>
  <c r="E22" i="5"/>
  <c r="F22" i="5"/>
  <c r="E26" i="5"/>
  <c r="F26" i="5"/>
  <c r="E34" i="5"/>
  <c r="F34" i="5"/>
  <c r="E43" i="5"/>
  <c r="F43" i="5"/>
  <c r="G43" i="5"/>
  <c r="E48" i="5"/>
  <c r="F48" i="5"/>
  <c r="G48" i="5"/>
  <c r="G52" i="5"/>
  <c r="E56" i="5"/>
  <c r="G56" i="5"/>
  <c r="C19" i="7" s="1"/>
  <c r="E62" i="5"/>
  <c r="F62" i="5"/>
  <c r="G62" i="5"/>
  <c r="E67" i="5"/>
  <c r="F67" i="5"/>
  <c r="G67" i="5"/>
  <c r="E72" i="5"/>
  <c r="F72" i="5"/>
  <c r="G72" i="5"/>
  <c r="E82" i="5"/>
  <c r="F82" i="5"/>
  <c r="G82" i="5"/>
  <c r="E87" i="5"/>
  <c r="F87" i="5"/>
  <c r="F50" i="10"/>
  <c r="D26" i="10"/>
  <c r="AP20" i="14" l="1"/>
  <c r="AG13" i="14"/>
  <c r="AH13" i="14" s="1"/>
  <c r="AM15" i="14"/>
  <c r="AN20" i="14"/>
  <c r="AM6" i="14"/>
  <c r="AM7" i="14"/>
  <c r="AQ17" i="14"/>
  <c r="AQ15" i="14"/>
  <c r="AQ13" i="14"/>
  <c r="AQ11" i="14"/>
  <c r="AQ9" i="14"/>
  <c r="AQ7" i="14"/>
  <c r="AE17" i="14"/>
  <c r="AE13" i="14"/>
  <c r="AE9" i="14"/>
  <c r="AE20" i="14" s="1"/>
  <c r="H31" i="11"/>
  <c r="U6" i="14"/>
  <c r="U20" i="14" s="1"/>
  <c r="U9" i="14"/>
  <c r="U13" i="14"/>
  <c r="U17" i="14"/>
  <c r="AC17" i="14"/>
  <c r="AE14" i="14"/>
  <c r="AC13" i="14"/>
  <c r="AE10" i="14"/>
  <c r="AC9" i="14"/>
  <c r="AG9" i="14" s="1"/>
  <c r="AH9" i="14" s="1"/>
  <c r="U8" i="14"/>
  <c r="X20" i="14"/>
  <c r="AA17" i="14"/>
  <c r="AG17" i="14" s="1"/>
  <c r="AH17" i="14" s="1"/>
  <c r="AC14" i="14"/>
  <c r="AG14" i="14" s="1"/>
  <c r="AH14" i="14" s="1"/>
  <c r="AA13" i="14"/>
  <c r="AC10" i="14"/>
  <c r="AG10" i="14" s="1"/>
  <c r="AH10" i="14" s="1"/>
  <c r="AA9" i="14"/>
  <c r="AA20" i="14" s="1"/>
  <c r="AC6" i="14"/>
  <c r="AC20" i="14" s="1"/>
  <c r="G29" i="9"/>
  <c r="U15" i="14"/>
  <c r="U7" i="14"/>
  <c r="E29" i="9"/>
  <c r="C7" i="7" s="1"/>
  <c r="I14" i="11"/>
  <c r="Q20" i="14"/>
  <c r="U16" i="14"/>
  <c r="E17" i="12"/>
  <c r="G20" i="5"/>
  <c r="G19" i="5"/>
  <c r="E19" i="12" s="1"/>
  <c r="G18" i="5"/>
  <c r="E18" i="12" s="1"/>
  <c r="E34" i="12"/>
  <c r="G6" i="12"/>
  <c r="E22" i="12"/>
  <c r="G22" i="5"/>
  <c r="F22" i="12"/>
  <c r="F34" i="12"/>
  <c r="E6" i="12"/>
  <c r="E11" i="12"/>
  <c r="G11" i="5"/>
  <c r="D28" i="15"/>
  <c r="F6" i="12"/>
  <c r="G55" i="12"/>
  <c r="F55" i="12"/>
  <c r="D19" i="8"/>
  <c r="E19" i="8" s="1"/>
  <c r="D21" i="8"/>
  <c r="E10" i="8"/>
  <c r="E20" i="12"/>
  <c r="C21" i="8"/>
  <c r="G33" i="5"/>
  <c r="D29" i="9"/>
  <c r="C23" i="7"/>
  <c r="E87" i="12"/>
  <c r="E55" i="12" s="1"/>
  <c r="G55" i="5"/>
  <c r="F55" i="5"/>
  <c r="E55" i="5"/>
  <c r="F5" i="5"/>
  <c r="E5" i="5"/>
  <c r="D69" i="15"/>
  <c r="G31" i="11"/>
  <c r="D31" i="11"/>
  <c r="C17" i="11"/>
  <c r="C31" i="11" s="1"/>
  <c r="C33" i="6"/>
  <c r="G33" i="11"/>
  <c r="C21" i="6"/>
  <c r="I6" i="11"/>
  <c r="I17" i="11" s="1"/>
  <c r="I31" i="11" s="1"/>
  <c r="G6" i="5"/>
  <c r="D5" i="15"/>
  <c r="E18" i="8"/>
  <c r="C22" i="6" l="1"/>
  <c r="C27" i="6" s="1"/>
  <c r="C34" i="6" s="1"/>
  <c r="AG6" i="14"/>
  <c r="G20" i="12"/>
  <c r="G18" i="12"/>
  <c r="G19" i="12"/>
  <c r="AQ6" i="14"/>
  <c r="AQ20" i="14" s="1"/>
  <c r="AM20" i="14"/>
  <c r="E21" i="8"/>
  <c r="G26" i="5"/>
  <c r="E33" i="12"/>
  <c r="G12" i="12"/>
  <c r="G11" i="12" s="1"/>
  <c r="F11" i="12"/>
  <c r="E16" i="12"/>
  <c r="G16" i="5"/>
  <c r="F93" i="5"/>
  <c r="E93" i="5"/>
  <c r="G34" i="5"/>
  <c r="I33" i="11"/>
  <c r="C6" i="7" s="1"/>
  <c r="C5" i="7" s="1"/>
  <c r="AH6" i="14" l="1"/>
  <c r="AH20" i="14" s="1"/>
  <c r="AG20" i="14"/>
  <c r="F33" i="12"/>
  <c r="E26" i="12"/>
  <c r="E5" i="12" s="1"/>
  <c r="E93" i="12" s="1"/>
  <c r="G5" i="5"/>
  <c r="C18" i="7" s="1"/>
  <c r="G16" i="12"/>
  <c r="F16" i="12"/>
  <c r="G33" i="12" l="1"/>
  <c r="G26" i="12" s="1"/>
  <c r="G5" i="12" s="1"/>
  <c r="G93" i="12" s="1"/>
  <c r="F26" i="12"/>
  <c r="F5" i="12" s="1"/>
  <c r="F93" i="12" s="1"/>
  <c r="G9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tc={7CC66F93-0337-4204-B538-0A7E26A76790}</author>
    <author>tc={69DA8E76-DF35-45CF-8C42-18D75181DCDE}</author>
    <author>tc={D14C4D8E-CA36-4E15-8596-86ACDB5C6E11}</author>
    <author>tc={4057536E-28C1-418F-A675-E4FF45F445DA}</author>
    <author>tc={639F50D0-52F7-4FC5-9CE5-EBAED338E9F9}</author>
    <author>tc={466C1BDD-2ECE-4006-BF4F-BCEEA3380570}</author>
    <author>tc={7C6894A6-38F1-4437-82F1-720F8899C7E8}</author>
    <author>tc={AD35B567-BE95-48B2-8B42-070858883453}</author>
    <author>tc={ED014315-F37C-4C03-89B3-2393A54A8EE2}</author>
  </authors>
  <commentList>
    <comment ref="G7" authorId="0" shapeId="0" xr:uid="{7CC66F93-0337-4204-B538-0A7E26A7679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8" authorId="1" shapeId="0" xr:uid="{69DA8E76-DF35-45CF-8C42-18D75181DCDE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12" authorId="2" shapeId="0" xr:uid="{D14C4D8E-CA36-4E15-8596-86ACDB5C6E11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15" authorId="3" shapeId="0" xr:uid="{4057536E-28C1-418F-A675-E4FF45F445DA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17" authorId="4" shapeId="0" xr:uid="{639F50D0-52F7-4FC5-9CE5-EBAED338E9F9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„P3a“</t>
        </r>
      </text>
    </comment>
    <comment ref="G25" authorId="5" shapeId="0" xr:uid="{466C1BDD-2ECE-4006-BF4F-BCEEA338057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33" authorId="6" shapeId="0" xr:uid="{7C6894A6-38F1-4437-82F1-720F8899C7E8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35" authorId="7" shapeId="0" xr:uid="{AD35B567-BE95-48B2-8B42-070858883453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„P5“</t>
        </r>
      </text>
    </comment>
    <comment ref="G42" authorId="8" shapeId="0" xr:uid="{ED014315-F37C-4C03-89B3-2393A54A8EE2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Kremerová Luisa</author>
  </authors>
  <commentList>
    <comment ref="A4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Kremerová Luisa:</t>
        </r>
        <r>
          <rPr>
            <sz val="8"/>
            <color indexed="81"/>
            <rFont val="Tahoma"/>
            <family val="2"/>
            <charset val="238"/>
          </rPr>
          <t xml:space="preserve">
uveďte název služby
</t>
        </r>
      </text>
    </comment>
    <comment ref="A28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Kremerová Luisa:</t>
        </r>
        <r>
          <rPr>
            <sz val="8"/>
            <color indexed="81"/>
            <rFont val="Tahoma"/>
            <family val="2"/>
            <charset val="238"/>
          </rPr>
          <t xml:space="preserve">
uveďte název služby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Tichý Jiří</author>
  </authors>
  <commentList>
    <comment ref="E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Tichý Jiří:</t>
        </r>
        <r>
          <rPr>
            <sz val="9"/>
            <color indexed="81"/>
            <rFont val="Tahoma"/>
            <family val="2"/>
            <charset val="238"/>
          </rPr>
          <t xml:space="preserve">
vložit název služby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tc={B6D771E5-68C6-4D9A-986E-62FAEE0D3DEA}</author>
    <author>tc={3D73038B-ACFC-4D2E-AEDB-F5D62B8366EE}</author>
    <author>tc={1C1B0F93-1FEF-42E8-82F2-E21D25724317}</author>
    <author>tc={A3A0344E-93A9-4C62-9725-6AD4E66B8A8E}</author>
    <author>tc={755E4F1C-1BBF-43A0-B95C-2274B4182680}</author>
    <author>tc={F3EA03AA-FE4A-4D05-9207-9BF32F8F6CA0}</author>
  </authors>
  <commentList>
    <comment ref="C20" authorId="0" shapeId="0" xr:uid="{B6D771E5-68C6-4D9A-986E-62FAEE0D3DEA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„P2“</t>
        </r>
      </text>
    </comment>
    <comment ref="C21" authorId="1" shapeId="0" xr:uid="{3D73038B-ACFC-4D2E-AEDB-F5D62B8366EE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„P5“</t>
        </r>
      </text>
    </comment>
    <comment ref="C22" authorId="2" shapeId="0" xr:uid="{1C1B0F93-1FEF-42E8-82F2-E21D25724317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28" authorId="3" shapeId="0" xr:uid="{A3A0344E-93A9-4C62-9725-6AD4E66B8A8E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29" authorId="4" shapeId="0" xr:uid="{755E4F1C-1BBF-43A0-B95C-2274B418268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30" authorId="5" shapeId="0" xr:uid="{F3EA03AA-FE4A-4D05-9207-9BF32F8F6CA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„P5“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tc={DE5556EA-0BC5-4B4A-AE3E-B2512EB1C184}</author>
    <author>tc={5B238453-E381-49A7-9CDC-0F0F53B412E0}</author>
    <author>tc={2A7FB63B-EEE1-41A3-B3C2-50C0D53AAAE0}</author>
    <author>tc={9B705060-204B-4439-9EB7-7A633379701A}</author>
    <author>tc={52264DCC-BA67-40A3-B6D5-89080E6424C7}</author>
    <author>tc={D02EF2E1-B8E1-4009-A0AA-6DEFFE5185A4}</author>
    <author>tc={55CC4B1E-D91A-47AB-A376-B6D42852C0A5}</author>
    <author>tc={845E2886-589A-4ED6-8EC6-DBE41E3FCC0F}</author>
    <author>tc={2E08A937-3C26-4D16-B9F3-576639BEE7D9}</author>
    <author>tc={6E5AE60A-CE28-49E9-A9EB-26FE35CF318A}</author>
    <author>tc={B3CFFF51-6A5A-43CC-96D6-677777FE5C31}</author>
    <author>tc={187A9DC6-E097-4EA4-8E90-5EEBAD31B386}</author>
    <author>tc={D0DEA64D-1D65-4A2C-B0CF-6D7350979C0C}</author>
    <author>tc={9BEBE121-2F38-43DE-8FFF-0A5B4F2AB608}</author>
  </authors>
  <commentList>
    <comment ref="C5" authorId="0" shapeId="0" xr:uid="{DE5556EA-0BC5-4B4A-AE3E-B2512EB1C184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6" authorId="1" shapeId="0" xr:uid="{5B238453-E381-49A7-9CDC-0F0F53B412E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„P5“</t>
        </r>
      </text>
    </comment>
    <comment ref="C7" authorId="2" shapeId="0" xr:uid="{2A7FB63B-EEE1-41A3-B3C2-50C0D53AAAE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8" authorId="3" shapeId="0" xr:uid="{9B705060-204B-4439-9EB7-7A633379701A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9" authorId="4" shapeId="0" xr:uid="{52264DCC-BA67-40A3-B6D5-89080E6424C7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„P2“</t>
        </r>
      </text>
    </comment>
    <comment ref="C10" authorId="5" shapeId="0" xr:uid="{D02EF2E1-B8E1-4009-A0AA-6DEFFE5185A4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11" authorId="6" shapeId="0" xr:uid="{55CC4B1E-D91A-47AB-A376-B6D42852C0A5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„P2“</t>
        </r>
      </text>
    </comment>
    <comment ref="C13" authorId="7" shapeId="0" xr:uid="{845E2886-589A-4ED6-8EC6-DBE41E3FCC0F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„P3a“</t>
        </r>
      </text>
    </comment>
    <comment ref="C18" authorId="8" shapeId="0" xr:uid="{2E08A937-3C26-4D16-B9F3-576639BEE7D9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19" authorId="9" shapeId="0" xr:uid="{6E5AE60A-CE28-49E9-A9EB-26FE35CF318A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20" authorId="10" shapeId="0" xr:uid="{B3CFFF51-6A5A-43CC-96D6-677777FE5C31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22" authorId="11" shapeId="0" xr:uid="{187A9DC6-E097-4EA4-8E90-5EEBAD31B386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23" authorId="12" shapeId="0" xr:uid="{D0DEA64D-1D65-4A2C-B0CF-6D7350979C0C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27" authorId="13" shapeId="0" xr:uid="{9BEBE121-2F38-43DE-8FFF-0A5B4F2AB608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„P2“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Tichý Jiří</author>
  </authors>
  <commentList>
    <comment ref="D3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Tichý Jiří:</t>
        </r>
        <r>
          <rPr>
            <sz val="9"/>
            <color indexed="81"/>
            <rFont val="Tahoma"/>
            <family val="2"/>
            <charset val="238"/>
          </rPr>
          <t xml:space="preserve">
číslo přílohy dle platového předpisu. 
K číslu se připojí x pokud zaměstnanec není k 1.1.2021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33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sem vložte plánované odpisy za doplňkovou činnost
</t>
        </r>
      </text>
    </comment>
  </commentList>
</comments>
</file>

<file path=xl/sharedStrings.xml><?xml version="1.0" encoding="utf-8"?>
<sst xmlns="http://schemas.openxmlformats.org/spreadsheetml/2006/main" count="1149" uniqueCount="504">
  <si>
    <t xml:space="preserve">Liberecký kraj </t>
  </si>
  <si>
    <t>příspěvkové organizace rezortu sociálních věcí</t>
  </si>
  <si>
    <t xml:space="preserve">Vypracoval(a): </t>
  </si>
  <si>
    <t xml:space="preserve">Schválil(a): </t>
  </si>
  <si>
    <t>ředitel(ka) organizace</t>
  </si>
  <si>
    <t xml:space="preserve">Přílohy: </t>
  </si>
  <si>
    <t>Spotřebované nákupy</t>
  </si>
  <si>
    <t>spotřeba materiálu</t>
  </si>
  <si>
    <t>prodané zboží</t>
  </si>
  <si>
    <t>Služby</t>
  </si>
  <si>
    <t>opravy a udržování</t>
  </si>
  <si>
    <t>cestovné</t>
  </si>
  <si>
    <t>náklady na reprezentaci</t>
  </si>
  <si>
    <t>ostatní služby</t>
  </si>
  <si>
    <t>Osobní náklady</t>
  </si>
  <si>
    <t>mzdové náklady</t>
  </si>
  <si>
    <t xml:space="preserve">zákonné sociální pojištění </t>
  </si>
  <si>
    <t>jiné sociální pojištění</t>
  </si>
  <si>
    <t>zákonné sociální náklady</t>
  </si>
  <si>
    <t xml:space="preserve">jiné sociální náklady </t>
  </si>
  <si>
    <t>Daně a poplatky</t>
  </si>
  <si>
    <t>daň silniční</t>
  </si>
  <si>
    <t>daň z nemovitostí</t>
  </si>
  <si>
    <t>jiné daně a poplatky</t>
  </si>
  <si>
    <t>Ostatní náklady</t>
  </si>
  <si>
    <t>smluvní pokuty a úroky z prodlení</t>
  </si>
  <si>
    <t>jiné pokuty a penále</t>
  </si>
  <si>
    <t>dary</t>
  </si>
  <si>
    <t>prodaný materiál</t>
  </si>
  <si>
    <t>manka a škody</t>
  </si>
  <si>
    <t>tvorba fondů</t>
  </si>
  <si>
    <t>ostatní náklady z činnosti</t>
  </si>
  <si>
    <t>Odpisy, prodaný majetek, rezervy a opravné položky</t>
  </si>
  <si>
    <t>odpisy dlouhodobého majetku</t>
  </si>
  <si>
    <t>prodané pozemky</t>
  </si>
  <si>
    <t>tvorba a zúčtování rezerv</t>
  </si>
  <si>
    <t>tvorba a zúčtování opravných položek</t>
  </si>
  <si>
    <t>náklady z odepsaných pohledávek</t>
  </si>
  <si>
    <t>náklady z drobného dlouhodobého majetku</t>
  </si>
  <si>
    <t>Finanční náklady</t>
  </si>
  <si>
    <t>úroky</t>
  </si>
  <si>
    <t>kurzové ztráty</t>
  </si>
  <si>
    <t>náklady z přecenění reálnou hodnotou</t>
  </si>
  <si>
    <t>ostatní finanční náklady</t>
  </si>
  <si>
    <t>náklady na nároky na prostředky SR</t>
  </si>
  <si>
    <t>náklady a ostatní nároky</t>
  </si>
  <si>
    <t>Daň z příjmů</t>
  </si>
  <si>
    <t>daň z příjmů</t>
  </si>
  <si>
    <t>dodatečné odvody daně z příjmů</t>
  </si>
  <si>
    <t>Tržby za vlastní výkony a zboží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</si>
  <si>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</si>
  <si>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</si>
  <si>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</si>
  <si>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</si>
  <si>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</si>
  <si>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Změny stavu vnitroorganizačních zásob</t>
  </si>
  <si>
    <t>změna stavu zásob nedokončené výroby</t>
  </si>
  <si>
    <t>změna stavu zásob polotovarů</t>
  </si>
  <si>
    <t>změna stavu zásob výrobků</t>
  </si>
  <si>
    <t>změna stavu ostatních zásob</t>
  </si>
  <si>
    <t>Aktivace</t>
  </si>
  <si>
    <t>aktivace materiálu a zboží</t>
  </si>
  <si>
    <t>aktivace vnitroorganizačních služeb</t>
  </si>
  <si>
    <t>aktivace dlouhodobého nehmotného majetku</t>
  </si>
  <si>
    <t>aktivace dlouhodobého hmotného majetku</t>
  </si>
  <si>
    <t>Ostatní výnosy</t>
  </si>
  <si>
    <t>výnosy z odepsaných pohledávek</t>
  </si>
  <si>
    <t>výnosy z prodeje materiálu</t>
  </si>
  <si>
    <t>výnosy z prodeje pozemků</t>
  </si>
  <si>
    <t>čerpání fondů</t>
  </si>
  <si>
    <t>ostatní výnosy z činnosti</t>
  </si>
  <si>
    <t>Finanční výnosy</t>
  </si>
  <si>
    <t>kurzové zisky</t>
  </si>
  <si>
    <t>výnosy z přecenění reálnou hodnotou</t>
  </si>
  <si>
    <t>ostatní finanční výnosy</t>
  </si>
  <si>
    <t>výnosy z nároků na prostředky SR - MPSV</t>
  </si>
  <si>
    <t>investiční dotace z rozpočtu kraje</t>
  </si>
  <si>
    <t>ostatní výnosy</t>
  </si>
  <si>
    <t>FOND ODMĚN</t>
  </si>
  <si>
    <t>peněžní dary - účelové</t>
  </si>
  <si>
    <t>peněžní dary - neúčelové</t>
  </si>
  <si>
    <t>posílení investičního fondu</t>
  </si>
  <si>
    <t>neinvestiční příspěvek na odpisy dlouhodobého majetku kraje</t>
  </si>
  <si>
    <t xml:space="preserve">neinvestiční příspěvek na provoz organizace </t>
  </si>
  <si>
    <t>limit prostředků na platy / podíl mimotarifních složek platu</t>
  </si>
  <si>
    <t>použití prostředků rezervního fondu</t>
  </si>
  <si>
    <t>použití prostředků fondu odměn</t>
  </si>
  <si>
    <t>limit výdajů na pohoštění</t>
  </si>
  <si>
    <t xml:space="preserve">            neinvestiční dotací z rozpočtu zřizovatele</t>
  </si>
  <si>
    <t xml:space="preserve">            neinvestiční dotací ze státního rozpočtu (MPSV)</t>
  </si>
  <si>
    <t>rozpočtované náklady</t>
  </si>
  <si>
    <t xml:space="preserve">investiční fond PO </t>
  </si>
  <si>
    <t>dotace ze SR a SF</t>
  </si>
  <si>
    <t>1. Rekonstrukce a modernizace - celkem</t>
  </si>
  <si>
    <t>2. Pořízení dlouhodobého majetku - celkem</t>
  </si>
  <si>
    <t>movitý majetek celkem</t>
  </si>
  <si>
    <t>odpisová skupina 1</t>
  </si>
  <si>
    <t>odpisová skupina 2</t>
  </si>
  <si>
    <t>odpisová skupina 3</t>
  </si>
  <si>
    <t>odpisová skupina 4</t>
  </si>
  <si>
    <t>odpisová skupina 4-A</t>
  </si>
  <si>
    <t>odpisová skupina 5</t>
  </si>
  <si>
    <t>odpisová skupina 6</t>
  </si>
  <si>
    <t>nemovitý majetek celkem</t>
  </si>
  <si>
    <t>odpisová skupina 7</t>
  </si>
  <si>
    <t>Název organizace:</t>
  </si>
  <si>
    <t>* doplňkový zdroj financování oprav a údržby nemovitého majetku zřizovatele v rámci běžného rozpočtu organizace</t>
  </si>
  <si>
    <t>výsledek hospodaření organizace pro rozpočet</t>
  </si>
  <si>
    <t>spotřebované nákupy</t>
  </si>
  <si>
    <t xml:space="preserve">služby </t>
  </si>
  <si>
    <t>osobní náklady</t>
  </si>
  <si>
    <t>daně a poplatky</t>
  </si>
  <si>
    <t>ostatní náklady</t>
  </si>
  <si>
    <t>odpisy, prodaný majetek, rezervy a opravné položky</t>
  </si>
  <si>
    <t>tržby za vlastní výkony a zboží</t>
  </si>
  <si>
    <t>změny stavu vnitroorganizačních zásob</t>
  </si>
  <si>
    <t>aktivace</t>
  </si>
  <si>
    <t>finační výnosy</t>
  </si>
  <si>
    <t>67a</t>
  </si>
  <si>
    <t>67b</t>
  </si>
  <si>
    <t>67c</t>
  </si>
  <si>
    <t xml:space="preserve"> náhrady mezd </t>
  </si>
  <si>
    <t xml:space="preserve"> Mzdové náklady celkem </t>
  </si>
  <si>
    <t>výnosy z prodeje dlouhodob.hmot.majetku</t>
  </si>
  <si>
    <t>vnosy z prodeje dlouhodob.nehmot. majetku</t>
  </si>
  <si>
    <t>výnosy z ostatních nároků</t>
  </si>
  <si>
    <t>ZC prodaného dlouhod. nehmot.majetku</t>
  </si>
  <si>
    <t>ZC prodaného dlouhod. hmot.majetku</t>
  </si>
  <si>
    <t>náklady na nároky na prostř. rozpočtů ÚSC</t>
  </si>
  <si>
    <t>Náklady na nároky na prostř.SR, rozp.ÚSC a st.fondů</t>
  </si>
  <si>
    <t>finanční náklady</t>
  </si>
  <si>
    <t>Podpis:</t>
  </si>
  <si>
    <t>Mgr. Jolana Šebková</t>
  </si>
  <si>
    <t>vedoucí odboru sociálních věcí</t>
  </si>
  <si>
    <t>Náklady z HČ na službu celkem - tř. 5</t>
  </si>
  <si>
    <t>Výnosy z HČ na službu celkem - tř. 6</t>
  </si>
  <si>
    <t>Hospodářský výsledek z hlavní činnosti</t>
  </si>
  <si>
    <t>NÁKLADY - HLAVNÍ ČINNOST CELKEM - třída 5</t>
  </si>
  <si>
    <t>HOSPODÁŘSKÝ VÝSLEDEK Z HLAVNÍ ČINNOSTI</t>
  </si>
  <si>
    <t>Výnosy z nároků na prostř. SR, rozpočtů ÚSC a SF</t>
  </si>
  <si>
    <t xml:space="preserve">spotřeba energie </t>
  </si>
  <si>
    <t>spotřeba ost. neskladovatelných dodávek</t>
  </si>
  <si>
    <t>provozní příspěvěk LK</t>
  </si>
  <si>
    <t>neinvestiční dotace - účelové LK</t>
  </si>
  <si>
    <t>ostatní prostředky - veřejné zdroje</t>
  </si>
  <si>
    <t>náklady na nároky na prostředky SR, rozpočtů ÚSC a SF</t>
  </si>
  <si>
    <t>výnosy z nároků na prostředky rozpočtů ÚSC</t>
  </si>
  <si>
    <t xml:space="preserve">REZERVNÍ FOND </t>
  </si>
  <si>
    <t>Počáteční stav fondu k 1. 1.</t>
  </si>
  <si>
    <t>příděl ze zlepšeného hospodářského výsledku</t>
  </si>
  <si>
    <t>Tvorba fondu celkem</t>
  </si>
  <si>
    <t>použití darů k dalšímu rozvoji své činnosti</t>
  </si>
  <si>
    <t>časové překlenutí dočasného nesouladu mezi výnosy a náklady</t>
  </si>
  <si>
    <t>úhrada sankcí uložených za porušení rozpočtové kázně</t>
  </si>
  <si>
    <t>úhrada ztráty za předchozí léta</t>
  </si>
  <si>
    <t>Čerpání fondu celkem</t>
  </si>
  <si>
    <t>Konečný stav fondu k 31. 12.</t>
  </si>
  <si>
    <t>INVESTIČNÍ FOND - kapitálový rozpočet</t>
  </si>
  <si>
    <t>převody z rezervního fondu schválené zřizovatelem</t>
  </si>
  <si>
    <t>odpisy dlouhodobého hmotného a nehmotného majetku</t>
  </si>
  <si>
    <t>investiční příspěvek z rozpočtu zřizovatele</t>
  </si>
  <si>
    <t>investiční dotace ze státních fondů a jiných veřejných rozpočtů</t>
  </si>
  <si>
    <t>peněžní dary a příspěvky jsou-li určené  k investičním účelům</t>
  </si>
  <si>
    <t>příjmy z prodeje svěřeného dlouhodobého hmotného majetku</t>
  </si>
  <si>
    <t xml:space="preserve">financování údržby a oprav majetku </t>
  </si>
  <si>
    <t>pořízení a technické zhodnocení hmotného a nehmotného DM</t>
  </si>
  <si>
    <t>odvod do rozpočtu zřizovatele - odpisy</t>
  </si>
  <si>
    <t>odvod do rozpočtu zřizovatele - ostatní</t>
  </si>
  <si>
    <t>úhrada investičních úvěrů nebo půjček</t>
  </si>
  <si>
    <t>překročení stanoveného objemu prostředků na platy - prioritní</t>
  </si>
  <si>
    <t>odměny zaměstnancům</t>
  </si>
  <si>
    <t>Kč</t>
  </si>
  <si>
    <t>ZÁVAZNÉ UKAZATELE (v Kč)</t>
  </si>
  <si>
    <t>použití prostředků IF na opravy a údržbu nemovitého majetku zřizovatele</t>
  </si>
  <si>
    <t>počet zaměstnanců oragnizace (přepočtený stav)</t>
  </si>
  <si>
    <t>Dílčí ukazatele (v Kč)</t>
  </si>
  <si>
    <t>výnosy z prodeje dlouhodobého hmotného majetku</t>
  </si>
  <si>
    <t>Odvody do rozpočtu kraje (v Kč)</t>
  </si>
  <si>
    <t xml:space="preserve">z činnosti organizace </t>
  </si>
  <si>
    <t>z investičního fondu organizace</t>
  </si>
  <si>
    <t xml:space="preserve">z prodeje - pronájmu dlouhodbého svěřeného majetku  </t>
  </si>
  <si>
    <t>PRACOVNÍCI A MZDY celkem v Kč</t>
  </si>
  <si>
    <t>stav zaměstnanců ve fyzických osobách k 31. 12.</t>
  </si>
  <si>
    <t xml:space="preserve">počet zaměstnanců přepočtený na úvazky k 31. 12. </t>
  </si>
  <si>
    <t xml:space="preserve"> základní mzdy (tarifní složka platu)</t>
  </si>
  <si>
    <t xml:space="preserve"> ostatní osobní náklady (DPČ, DPP)</t>
  </si>
  <si>
    <t>z toho: za hlavní činnost</t>
  </si>
  <si>
    <t xml:space="preserve">            za doplňkovou činnost </t>
  </si>
  <si>
    <t>Průměrná měsíční mzda (bez OON)</t>
  </si>
  <si>
    <t xml:space="preserve">Opravy a údržba nemovitého majetku zřizovatele* </t>
  </si>
  <si>
    <t xml:space="preserve">Celkem za organizaci </t>
  </si>
  <si>
    <t>Financování kapitálové části rozpočtu organizace - investiční výdaje</t>
  </si>
  <si>
    <t>jiné zdroje (dary, apod.)</t>
  </si>
  <si>
    <t>Výpočet účetních odpisů za majetek zřizovatele v celých Kč</t>
  </si>
  <si>
    <t>Výpočet účetních odpisů za vlastní majetek příspěvkové organizace v celých Kč</t>
  </si>
  <si>
    <t>celkem za majetek vlastní (ř.13 + ř.20)</t>
  </si>
  <si>
    <t>Úprava o účetní odpisy na doplňkovou činnost:</t>
  </si>
  <si>
    <t>hlavní činnost</t>
  </si>
  <si>
    <t>doplňková činnost</t>
  </si>
  <si>
    <t>provozní příspěvek</t>
  </si>
  <si>
    <t xml:space="preserve"> </t>
  </si>
  <si>
    <r>
      <t xml:space="preserve">Služba </t>
    </r>
    <r>
      <rPr>
        <b/>
        <sz val="11"/>
        <color rgb="FFFF0000"/>
        <rFont val="Times New Roman"/>
        <family val="1"/>
        <charset val="238"/>
      </rPr>
      <t>1</t>
    </r>
  </si>
  <si>
    <r>
      <t xml:space="preserve">Služba </t>
    </r>
    <r>
      <rPr>
        <b/>
        <sz val="11"/>
        <color rgb="FFFF0000"/>
        <rFont val="Times New Roman"/>
        <family val="1"/>
        <charset val="238"/>
      </rPr>
      <t>2</t>
    </r>
  </si>
  <si>
    <r>
      <t xml:space="preserve">Služba </t>
    </r>
    <r>
      <rPr>
        <b/>
        <sz val="11"/>
        <color rgb="FFFF0000"/>
        <rFont val="Times New Roman"/>
        <family val="1"/>
        <charset val="238"/>
      </rPr>
      <t>3</t>
    </r>
  </si>
  <si>
    <t>Celkem příspěvek</t>
  </si>
  <si>
    <t>dotace MPSV - vyrovnávací platba</t>
  </si>
  <si>
    <t>Služba 1 - Doplňte službu</t>
  </si>
  <si>
    <t>Služba 2 - Doplňte službu</t>
  </si>
  <si>
    <t>Kalkulace mzdových prostředků po zaměstnancích</t>
  </si>
  <si>
    <t>Řádek číslo</t>
  </si>
  <si>
    <t>Platová třída</t>
  </si>
  <si>
    <t>Platový stupeň</t>
  </si>
  <si>
    <t>Tabulka číslo</t>
  </si>
  <si>
    <t>Profese</t>
  </si>
  <si>
    <t>Vzdělání</t>
  </si>
  <si>
    <t>Pracovník (1,2,3,…)</t>
  </si>
  <si>
    <t>Základní mzda</t>
  </si>
  <si>
    <t>Příplatky</t>
  </si>
  <si>
    <t>celkem Kč/měsíc</t>
  </si>
  <si>
    <t>Úvazek hod./týden</t>
  </si>
  <si>
    <t>Poměr úvazku (krácený)</t>
  </si>
  <si>
    <t>Celkem Kč/měsíc (krácený úvazek)</t>
  </si>
  <si>
    <t>Práce v noci</t>
  </si>
  <si>
    <t>Práce v So,Ne</t>
  </si>
  <si>
    <t>Práce ve svátek</t>
  </si>
  <si>
    <t>Celkem rok</t>
  </si>
  <si>
    <t>Poznámka</t>
  </si>
  <si>
    <t>Katalog. Číslo</t>
  </si>
  <si>
    <t>název</t>
  </si>
  <si>
    <t>pož.</t>
  </si>
  <si>
    <t>skut.</t>
  </si>
  <si>
    <t>vedení</t>
  </si>
  <si>
    <t>osobní</t>
  </si>
  <si>
    <t>§ 8,sk.I, bod 1</t>
  </si>
  <si>
    <t>§ 8,sk.II, bod 1</t>
  </si>
  <si>
    <t>§ 8,sk.III, bod x.x</t>
  </si>
  <si>
    <t>§ 8,sk.IV, bod x.x</t>
  </si>
  <si>
    <t>zvláštní</t>
  </si>
  <si>
    <t>hod/rok</t>
  </si>
  <si>
    <t>Kč/rok</t>
  </si>
  <si>
    <t>směny</t>
  </si>
  <si>
    <t>1.01.12</t>
  </si>
  <si>
    <t>ředitel</t>
  </si>
  <si>
    <t>VŠ,Bc</t>
  </si>
  <si>
    <t>VŚ</t>
  </si>
  <si>
    <t>2.08.02</t>
  </si>
  <si>
    <t>soc.pracovník</t>
  </si>
  <si>
    <t>Bc</t>
  </si>
  <si>
    <t>VŠ</t>
  </si>
  <si>
    <t>USO</t>
  </si>
  <si>
    <t>VO</t>
  </si>
  <si>
    <t>2.08.01</t>
  </si>
  <si>
    <t>ved.prac. v soc.službách</t>
  </si>
  <si>
    <t>prac.v soc.službách</t>
  </si>
  <si>
    <t xml:space="preserve">SO </t>
  </si>
  <si>
    <t>SO</t>
  </si>
  <si>
    <t>Celkem</t>
  </si>
  <si>
    <t xml:space="preserve">hod/rok - skutečnost z ročního plánu směn zaměstnance </t>
  </si>
  <si>
    <t>DPP</t>
  </si>
  <si>
    <t>pracovní úkol</t>
  </si>
  <si>
    <t>Rozsah práce (hod.)</t>
  </si>
  <si>
    <t>Odměna Kč/hod.</t>
  </si>
  <si>
    <t>náklady celkem</t>
  </si>
  <si>
    <t>Celkem DPP</t>
  </si>
  <si>
    <t>DPČ</t>
  </si>
  <si>
    <t>pracovní zařazení</t>
  </si>
  <si>
    <t>sjednaná práce</t>
  </si>
  <si>
    <t>úvazek</t>
  </si>
  <si>
    <t>počet měsíců</t>
  </si>
  <si>
    <t>Celkem DPČ</t>
  </si>
  <si>
    <t>plánované náhrady (dovolená)</t>
  </si>
  <si>
    <t>základní mzda</t>
  </si>
  <si>
    <t>příplatek celkem</t>
  </si>
  <si>
    <t>přepočet na poměr úvazku</t>
  </si>
  <si>
    <t>pole k vyplnění</t>
  </si>
  <si>
    <t>Počet měsíců</t>
  </si>
  <si>
    <t>x</t>
  </si>
  <si>
    <t>OSO</t>
  </si>
  <si>
    <t>9a</t>
  </si>
  <si>
    <t>výpomoc v kuchyni</t>
  </si>
  <si>
    <t>přepoč. stav úvazků</t>
  </si>
  <si>
    <t>praktická sestra</t>
  </si>
  <si>
    <t>2x</t>
  </si>
  <si>
    <t>přepoč. počet zaměstn.</t>
  </si>
  <si>
    <t xml:space="preserve">přepočet na přpoč. počet zaměstn. za rok </t>
  </si>
  <si>
    <t xml:space="preserve">Celkem Kč/rok </t>
  </si>
  <si>
    <t>Pozor !!!! Řádky pro pomocné převodové součty</t>
  </si>
  <si>
    <t>Dodatková dovolená (hod.)</t>
  </si>
  <si>
    <t>platový postup od 1.7.2022</t>
  </si>
  <si>
    <t>prac pozice od 1.7.2022</t>
  </si>
  <si>
    <t>Poznámka (kalkulace, zdůvodnění)</t>
  </si>
  <si>
    <t>Rozpočet 2025 a rozpočtový výhled 2025-2027</t>
  </si>
  <si>
    <t>Přehled nákladů a výnosů z hlavní činnosti - rozpočet 2025</t>
  </si>
  <si>
    <t>P6 - Návrh střednědobého výhledu 2025-2027</t>
  </si>
  <si>
    <t>SK 2023</t>
  </si>
  <si>
    <t>SK 2024</t>
  </si>
  <si>
    <t>SR 2025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</si>
  <si>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</si>
  <si>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</si>
  <si>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</si>
  <si>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</si>
  <si>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</si>
  <si>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</si>
  <si>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</si>
  <si>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</si>
  <si>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</si>
  <si>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</si>
  <si>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</si>
  <si>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</si>
  <si>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</si>
  <si>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</si>
  <si>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</si>
  <si>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</si>
  <si>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</si>
  <si>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</si>
  <si>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</si>
  <si>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</si>
  <si>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</si>
  <si>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</si>
  <si>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</si>
  <si>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</si>
  <si>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</si>
  <si>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</si>
  <si>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</si>
  <si>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</si>
  <si>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</si>
  <si>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</si>
  <si>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</si>
  <si>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</si>
  <si>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</si>
  <si>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</si>
  <si>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</si>
  <si>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</si>
  <si>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</si>
  <si>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</si>
  <si>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</si>
  <si>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</si>
  <si>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</si>
  <si>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</si>
  <si>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</si>
  <si>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</si>
  <si>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</si>
  <si>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</si>
  <si>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</si>
  <si>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</si>
  <si>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</si>
  <si>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</si>
  <si>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</si>
  <si>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</si>
  <si>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</si>
  <si>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</si>
  <si>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</si>
  <si>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</si>
  <si>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</si>
  <si>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</si>
  <si>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</si>
  <si>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</si>
  <si>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</si>
  <si>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</si>
  <si>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</si>
  <si>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</si>
  <si>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</si>
  <si>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</si>
  <si>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</si>
  <si>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</si>
  <si>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</si>
  <si>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</si>
  <si>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</si>
  <si>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</si>
  <si>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</si>
  <si>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</si>
  <si>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</si>
  <si>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</si>
  <si>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</si>
  <si>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</si>
  <si>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</si>
  <si>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</si>
  <si>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</si>
  <si>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</si>
  <si>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</si>
  <si>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</si>
  <si>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</si>
  <si>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</si>
  <si>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</si>
  <si>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</si>
  <si>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</si>
  <si>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Návrh střednědobého výhledu 2025 - 2027</t>
  </si>
  <si>
    <t xml:space="preserve">Org. organizace: </t>
  </si>
  <si>
    <t>ekonom(ka) organizace</t>
  </si>
  <si>
    <t>P1 - Přehled nákladů a výnosů z hlavní činnosti - rozpočet 2025</t>
  </si>
  <si>
    <t>Poř. č.</t>
  </si>
  <si>
    <t>Účet</t>
  </si>
  <si>
    <t>Ukazatel</t>
  </si>
  <si>
    <t>SÚ</t>
  </si>
  <si>
    <t>AÚ</t>
  </si>
  <si>
    <t>Pol.</t>
  </si>
  <si>
    <t xml:space="preserve">účelové dotace LK neinvestiční </t>
  </si>
  <si>
    <t>jiné zdroje (dary,  apod.)</t>
  </si>
  <si>
    <t xml:space="preserve">Rozpis neinvestičního příspěvku zřizovatele na provoz organizace podle služeb </t>
  </si>
  <si>
    <t>příjmy z prodeje dlouhodobého hmotného majetku ve vlastnictví p. o.</t>
  </si>
  <si>
    <t>Položka</t>
  </si>
  <si>
    <t xml:space="preserve">Sídlo organizace: </t>
  </si>
  <si>
    <t>celkem za majetek zřizovatele (ř. 1 + ř. 9)</t>
  </si>
  <si>
    <t>Majetek celkem ( ř. 12 + ř. 23 )</t>
  </si>
  <si>
    <t xml:space="preserve">Druh majetku / číslo odpisové skupiny </t>
  </si>
  <si>
    <t>Pořizovací cena</t>
  </si>
  <si>
    <t xml:space="preserve">Oprávky k 1. 1. sledovaného roku </t>
  </si>
  <si>
    <t xml:space="preserve">Doba odpisování </t>
  </si>
  <si>
    <t>Roční odpisová sazba %</t>
  </si>
  <si>
    <t xml:space="preserve">Účetní odpisy na sledovaný rok </t>
  </si>
  <si>
    <t>Transferový podíl</t>
  </si>
  <si>
    <t>Zůstatková cena</t>
  </si>
  <si>
    <t>Rozdíl</t>
  </si>
  <si>
    <t xml:space="preserve">Přehled nákladů a výnosů podle služeb - rozpočet 2025 </t>
  </si>
  <si>
    <t xml:space="preserve">účelové dotace LK investiční </t>
  </si>
  <si>
    <t>Rok 2025</t>
  </si>
  <si>
    <t>Rok 2026</t>
  </si>
  <si>
    <t>Rok 2027</t>
  </si>
  <si>
    <t>výnosy z nároků na prostředky USC - účelové</t>
  </si>
  <si>
    <t>rozpočet běžných výdajů organizace (celkové N na hlavní činnosti)</t>
  </si>
  <si>
    <t>kryto:   vlastními prostředky organizace (tržby)</t>
  </si>
  <si>
    <t>výnosy (ostatní, finanční)</t>
  </si>
  <si>
    <t>Přehled nákladů dle AU - rozpočet 2025</t>
  </si>
  <si>
    <t>Bilance fondů organizace - rozpočet 2025</t>
  </si>
  <si>
    <t>Doplňující ukazatele - rozpočet 2025</t>
  </si>
  <si>
    <t>Doplňující ukazatele (mzdy) - rozpočet 2025</t>
  </si>
  <si>
    <t>Plán investic a oprav - rozpočet 2025</t>
  </si>
  <si>
    <t>Výpočet účetních odpisů příspěvkové organizace - rozpočet 2025</t>
  </si>
  <si>
    <t xml:space="preserve">odměny </t>
  </si>
  <si>
    <t>P2 - Bilance fondů organizace - rozpočet 2025</t>
  </si>
  <si>
    <t>P4 - Plán investic a oprav - rozpočet 2025</t>
  </si>
  <si>
    <t>P5 - Výpočet účetních odpisů příspěvkové organizace - rozpočet 2025</t>
  </si>
  <si>
    <t>P3 - Doplňující ukazatele - rozpočet 2025</t>
  </si>
  <si>
    <t xml:space="preserve">VÝNOSY HLAVNÍ ČINNOST CELKEM - třída 6 </t>
  </si>
  <si>
    <t xml:space="preserve">příplatky celkem </t>
  </si>
  <si>
    <t xml:space="preserve">v tom - příplatek za vedení </t>
  </si>
  <si>
    <t xml:space="preserve">         - osobní příplatek</t>
  </si>
  <si>
    <t xml:space="preserve">         - zvláštní příplatek</t>
  </si>
  <si>
    <t xml:space="preserve">         - příplatek noční</t>
  </si>
  <si>
    <t xml:space="preserve">         - příplatek So, Ne</t>
  </si>
  <si>
    <t xml:space="preserve">         - příplatek svátek</t>
  </si>
  <si>
    <t>Domov Raspenava, příspěvková organizace</t>
  </si>
  <si>
    <t>Fučíkova 432, 463 61 Raspenava</t>
  </si>
  <si>
    <t>PhDr. Květa Kutílková</t>
  </si>
  <si>
    <t>Textil, prádlo</t>
  </si>
  <si>
    <t>Zdravotní materiál</t>
  </si>
  <si>
    <t>Ochranné prostředky</t>
  </si>
  <si>
    <t>Knihy, učební pomůcky, tisk, DVD atd.</t>
  </si>
  <si>
    <t>DKP do 3000,-Kč</t>
  </si>
  <si>
    <t>Terapie</t>
  </si>
  <si>
    <t>Kancelářské potřeby</t>
  </si>
  <si>
    <t>Čistící prostředky</t>
  </si>
  <si>
    <t>Ostatní materiál</t>
  </si>
  <si>
    <t>Materiál Dílna</t>
  </si>
  <si>
    <t>Potraviny STD Kavárna</t>
  </si>
  <si>
    <t>Potraviny</t>
  </si>
  <si>
    <t>Plyn Dílna</t>
  </si>
  <si>
    <t>El.energie Dílna</t>
  </si>
  <si>
    <t>Opravy movitých věcí</t>
  </si>
  <si>
    <t>Opravy nemovitostí</t>
  </si>
  <si>
    <t>Poštovné</t>
  </si>
  <si>
    <t>Telefony</t>
  </si>
  <si>
    <t>Konzultace</t>
  </si>
  <si>
    <t>Školení</t>
  </si>
  <si>
    <t>Pov.ručení, vozový park, dál.známky, STK atd.</t>
  </si>
  <si>
    <t>Služby ostatní</t>
  </si>
  <si>
    <t>Programové vybavení</t>
  </si>
  <si>
    <t>Nájem byt nad lékárnou</t>
  </si>
  <si>
    <t>Nájem Dílna</t>
  </si>
  <si>
    <t>Revize</t>
  </si>
  <si>
    <t>SW + HW servis</t>
  </si>
  <si>
    <t>Likvidace odpadu</t>
  </si>
  <si>
    <t>Kapesné, škola apod. - klienti</t>
  </si>
  <si>
    <t>Poplatky KB</t>
  </si>
  <si>
    <t>běžné opravy a údržba</t>
  </si>
  <si>
    <t>10</t>
  </si>
  <si>
    <t>15</t>
  </si>
  <si>
    <t>20</t>
  </si>
  <si>
    <t>50</t>
  </si>
  <si>
    <t>150</t>
  </si>
  <si>
    <t>Povinný podíl za OZP</t>
  </si>
  <si>
    <t>Havarijní pojištění</t>
  </si>
  <si>
    <t>Plyn Domov</t>
  </si>
  <si>
    <t>El.energie Domov</t>
  </si>
  <si>
    <t>materiál na opravy a údržbu, běžný materiál - kuchyně, prádelna atd</t>
  </si>
  <si>
    <t>barvy do tiskáren, kanc. Papír, školní pomůcky pro děti</t>
  </si>
  <si>
    <t>materiál pro Domov -terapie</t>
  </si>
  <si>
    <t>drobný nábytek</t>
  </si>
  <si>
    <t>Pobyty 110000, grafika 120000, týden soc.služeb 25000</t>
  </si>
  <si>
    <t xml:space="preserve">IT služby </t>
  </si>
  <si>
    <t>supervize + audity UZ</t>
  </si>
  <si>
    <t>mobilní, pevné linky+internet</t>
  </si>
  <si>
    <t>Kavárna, přípravna</t>
  </si>
  <si>
    <t>Nájem Rychta</t>
  </si>
  <si>
    <t>Cygnus 252000, Vema 50000, Gordic 38000</t>
  </si>
  <si>
    <t>klienmti-děti</t>
  </si>
  <si>
    <t xml:space="preserve">PHM </t>
  </si>
  <si>
    <t>materiál na terapii STD</t>
  </si>
  <si>
    <t>běžné opravy a údržba budov + nové lino chodba budova admin (čerpání z IF organizace)</t>
  </si>
  <si>
    <t>myčky, pračky, sušičky, údržba bytů</t>
  </si>
  <si>
    <t>navýšeno o 2 klienty bez vlastních příjmů</t>
  </si>
  <si>
    <t xml:space="preserve">Datum shválení: </t>
  </si>
  <si>
    <t>06. 05. 2025</t>
  </si>
  <si>
    <t>Ing. Kateřina Zajíčková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</si>
</sst>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unga"/>
      <family val="2"/>
    </font>
    <font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 CE"/>
      <charset val="238"/>
    </font>
    <font>
      <b/>
      <sz val="11"/>
      <color theme="1"/>
      <name val="Times New Roman"/>
      <family val="1"/>
      <charset val="238"/>
    </font>
    <font>
      <sz val="8"/>
      <name val="Arial CE"/>
      <charset val="238"/>
    </font>
    <font>
      <u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</cellStyleXfs>
  <cellXfs count="538">
    <xf numFmtId="0" fontId="0" fillId="0" borderId="0" xfId="0"/>
    <xf numFmtId="0" fontId="10" fillId="0" borderId="0" xfId="0" applyFont="1"/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4" fontId="14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0" fontId="14" fillId="0" borderId="0" xfId="0" applyFont="1"/>
    <xf numFmtId="0" fontId="16" fillId="0" borderId="0" xfId="0" applyFont="1"/>
    <xf numFmtId="4" fontId="0" fillId="0" borderId="0" xfId="0" applyNumberFormat="1"/>
    <xf numFmtId="3" fontId="0" fillId="0" borderId="0" xfId="0" applyNumberFormat="1"/>
    <xf numFmtId="3" fontId="0" fillId="0" borderId="0" xfId="0" applyNumberFormat="1" applyProtection="1">
      <protection locked="0"/>
    </xf>
    <xf numFmtId="0" fontId="20" fillId="0" borderId="0" xfId="0" applyFont="1"/>
    <xf numFmtId="0" fontId="23" fillId="0" borderId="0" xfId="0" applyFont="1"/>
    <xf numFmtId="0" fontId="23" fillId="5" borderId="4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5" borderId="12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23" fillId="0" borderId="15" xfId="0" applyFont="1" applyBorder="1"/>
    <xf numFmtId="0" fontId="23" fillId="0" borderId="6" xfId="0" applyFont="1" applyBorder="1"/>
    <xf numFmtId="0" fontId="27" fillId="0" borderId="2" xfId="0" applyFont="1" applyBorder="1" applyAlignment="1">
      <alignment horizontal="center"/>
    </xf>
    <xf numFmtId="0" fontId="23" fillId="5" borderId="9" xfId="0" applyFont="1" applyFill="1" applyBorder="1" applyAlignment="1">
      <alignment horizontal="left"/>
    </xf>
    <xf numFmtId="0" fontId="23" fillId="0" borderId="12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5" borderId="10" xfId="0" applyFont="1" applyFill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23" fillId="0" borderId="14" xfId="0" applyFont="1" applyBorder="1"/>
    <xf numFmtId="0" fontId="23" fillId="0" borderId="12" xfId="0" applyFont="1" applyBorder="1"/>
    <xf numFmtId="0" fontId="23" fillId="0" borderId="10" xfId="0" applyFont="1" applyBorder="1"/>
    <xf numFmtId="0" fontId="23" fillId="0" borderId="16" xfId="0" applyFont="1" applyBorder="1"/>
    <xf numFmtId="0" fontId="23" fillId="0" borderId="17" xfId="0" applyFont="1" applyBorder="1"/>
    <xf numFmtId="0" fontId="23" fillId="0" borderId="9" xfId="0" applyFont="1" applyBorder="1"/>
    <xf numFmtId="0" fontId="23" fillId="0" borderId="19" xfId="0" applyFont="1" applyBorder="1"/>
    <xf numFmtId="3" fontId="27" fillId="0" borderId="2" xfId="0" applyNumberFormat="1" applyFont="1" applyBorder="1" applyAlignment="1">
      <alignment horizontal="center"/>
    </xf>
    <xf numFmtId="3" fontId="23" fillId="5" borderId="8" xfId="0" applyNumberFormat="1" applyFont="1" applyFill="1" applyBorder="1"/>
    <xf numFmtId="3" fontId="23" fillId="0" borderId="12" xfId="0" applyNumberFormat="1" applyFont="1" applyBorder="1" applyProtection="1">
      <protection locked="0"/>
    </xf>
    <xf numFmtId="3" fontId="23" fillId="5" borderId="12" xfId="0" applyNumberFormat="1" applyFont="1" applyFill="1" applyBorder="1"/>
    <xf numFmtId="3" fontId="23" fillId="5" borderId="16" xfId="0" applyNumberFormat="1" applyFont="1" applyFill="1" applyBorder="1"/>
    <xf numFmtId="3" fontId="23" fillId="0" borderId="16" xfId="0" applyNumberFormat="1" applyFont="1" applyBorder="1" applyProtection="1">
      <protection locked="0"/>
    </xf>
    <xf numFmtId="3" fontId="23" fillId="0" borderId="15" xfId="0" applyNumberFormat="1" applyFont="1" applyBorder="1" applyProtection="1">
      <protection locked="0"/>
    </xf>
    <xf numFmtId="3" fontId="27" fillId="5" borderId="2" xfId="0" applyNumberFormat="1" applyFont="1" applyFill="1" applyBorder="1"/>
    <xf numFmtId="3" fontId="23" fillId="5" borderId="11" xfId="0" applyNumberFormat="1" applyFont="1" applyFill="1" applyBorder="1"/>
    <xf numFmtId="3" fontId="23" fillId="0" borderId="13" xfId="0" applyNumberFormat="1" applyFont="1" applyBorder="1" applyProtection="1">
      <protection locked="0"/>
    </xf>
    <xf numFmtId="3" fontId="23" fillId="0" borderId="33" xfId="0" applyNumberFormat="1" applyFont="1" applyBorder="1" applyProtection="1">
      <protection locked="0"/>
    </xf>
    <xf numFmtId="3" fontId="23" fillId="5" borderId="13" xfId="0" applyNumberFormat="1" applyFont="1" applyFill="1" applyBorder="1"/>
    <xf numFmtId="3" fontId="23" fillId="5" borderId="43" xfId="0" applyNumberFormat="1" applyFont="1" applyFill="1" applyBorder="1"/>
    <xf numFmtId="3" fontId="23" fillId="0" borderId="43" xfId="0" applyNumberFormat="1" applyFont="1" applyBorder="1" applyProtection="1">
      <protection locked="0"/>
    </xf>
    <xf numFmtId="3" fontId="23" fillId="0" borderId="22" xfId="0" applyNumberFormat="1" applyFont="1" applyBorder="1" applyProtection="1">
      <protection locked="0"/>
    </xf>
    <xf numFmtId="3" fontId="27" fillId="5" borderId="3" xfId="0" applyNumberFormat="1" applyFont="1" applyFill="1" applyBorder="1"/>
    <xf numFmtId="0" fontId="23" fillId="8" borderId="15" xfId="0" applyFont="1" applyFill="1" applyBorder="1"/>
    <xf numFmtId="0" fontId="18" fillId="0" borderId="0" xfId="0" applyFont="1" applyAlignment="1">
      <alignment horizontal="left"/>
    </xf>
    <xf numFmtId="3" fontId="23" fillId="0" borderId="0" xfId="0" applyNumberFormat="1" applyFont="1"/>
    <xf numFmtId="0" fontId="29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3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3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right"/>
    </xf>
    <xf numFmtId="3" fontId="23" fillId="0" borderId="37" xfId="0" applyNumberFormat="1" applyFont="1" applyBorder="1" applyAlignment="1" applyProtection="1">
      <alignment horizontal="right"/>
      <protection locked="0"/>
    </xf>
    <xf numFmtId="3" fontId="20" fillId="0" borderId="0" xfId="0" applyNumberFormat="1" applyFont="1" applyAlignment="1">
      <alignment horizontal="right"/>
    </xf>
    <xf numFmtId="3" fontId="27" fillId="0" borderId="12" xfId="0" applyNumberFormat="1" applyFont="1" applyBorder="1" applyProtection="1">
      <protection locked="0"/>
    </xf>
    <xf numFmtId="3" fontId="27" fillId="9" borderId="12" xfId="0" applyNumberFormat="1" applyFont="1" applyFill="1" applyBorder="1" applyProtection="1">
      <protection locked="0"/>
    </xf>
    <xf numFmtId="0" fontId="18" fillId="0" borderId="0" xfId="1" applyFont="1"/>
    <xf numFmtId="0" fontId="27" fillId="0" borderId="0" xfId="1" applyFont="1" applyAlignment="1">
      <alignment horizontal="center" vertical="center"/>
    </xf>
    <xf numFmtId="0" fontId="27" fillId="0" borderId="0" xfId="1" applyFont="1"/>
    <xf numFmtId="0" fontId="23" fillId="0" borderId="0" xfId="1" applyFont="1"/>
    <xf numFmtId="4" fontId="23" fillId="0" borderId="0" xfId="1" applyNumberFormat="1" applyFont="1"/>
    <xf numFmtId="4" fontId="27" fillId="0" borderId="0" xfId="1" applyNumberFormat="1" applyFont="1"/>
    <xf numFmtId="9" fontId="23" fillId="0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36" xfId="0" applyFont="1" applyBorder="1" applyAlignment="1">
      <alignment horizontal="center"/>
    </xf>
    <xf numFmtId="0" fontId="23" fillId="0" borderId="41" xfId="0" applyFont="1" applyBorder="1"/>
    <xf numFmtId="3" fontId="27" fillId="0" borderId="2" xfId="0" applyNumberFormat="1" applyFont="1" applyBorder="1" applyAlignment="1">
      <alignment horizontal="center" vertical="center"/>
    </xf>
    <xf numFmtId="3" fontId="27" fillId="0" borderId="6" xfId="0" applyNumberFormat="1" applyFont="1" applyBorder="1" applyAlignment="1">
      <alignment horizontal="center" vertical="center" wrapText="1"/>
    </xf>
    <xf numFmtId="0" fontId="40" fillId="0" borderId="0" xfId="0" applyFont="1"/>
    <xf numFmtId="49" fontId="40" fillId="0" borderId="0" xfId="0" applyNumberFormat="1" applyFont="1"/>
    <xf numFmtId="17" fontId="40" fillId="0" borderId="0" xfId="0" applyNumberFormat="1" applyFont="1"/>
    <xf numFmtId="0" fontId="13" fillId="0" borderId="0" xfId="0" applyFont="1"/>
    <xf numFmtId="49" fontId="13" fillId="0" borderId="0" xfId="0" applyNumberFormat="1" applyFont="1"/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9" fontId="13" fillId="0" borderId="0" xfId="0" applyNumberFormat="1" applyFont="1"/>
    <xf numFmtId="0" fontId="13" fillId="0" borderId="12" xfId="0" applyFont="1" applyBorder="1"/>
    <xf numFmtId="1" fontId="13" fillId="0" borderId="12" xfId="0" applyNumberFormat="1" applyFont="1" applyBorder="1"/>
    <xf numFmtId="17" fontId="13" fillId="0" borderId="12" xfId="0" applyNumberFormat="1" applyFont="1" applyBorder="1"/>
    <xf numFmtId="0" fontId="13" fillId="8" borderId="0" xfId="0" applyFont="1" applyFill="1"/>
    <xf numFmtId="49" fontId="0" fillId="0" borderId="0" xfId="0" applyNumberFormat="1"/>
    <xf numFmtId="1" fontId="0" fillId="0" borderId="0" xfId="0" applyNumberFormat="1"/>
    <xf numFmtId="0" fontId="41" fillId="0" borderId="0" xfId="0" applyFont="1"/>
    <xf numFmtId="0" fontId="0" fillId="0" borderId="12" xfId="0" applyBorder="1"/>
    <xf numFmtId="0" fontId="39" fillId="0" borderId="0" xfId="0" applyFont="1"/>
    <xf numFmtId="0" fontId="3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3" fillId="7" borderId="12" xfId="0" applyFont="1" applyFill="1" applyBorder="1"/>
    <xf numFmtId="49" fontId="13" fillId="7" borderId="12" xfId="0" applyNumberFormat="1" applyFont="1" applyFill="1" applyBorder="1"/>
    <xf numFmtId="0" fontId="0" fillId="7" borderId="12" xfId="0" applyFill="1" applyBorder="1"/>
    <xf numFmtId="0" fontId="13" fillId="0" borderId="15" xfId="0" applyFont="1" applyBorder="1" applyAlignment="1">
      <alignment horizontal="center" vertical="center" wrapText="1"/>
    </xf>
    <xf numFmtId="1" fontId="13" fillId="7" borderId="12" xfId="0" applyNumberFormat="1" applyFont="1" applyFill="1" applyBorder="1"/>
    <xf numFmtId="2" fontId="0" fillId="0" borderId="12" xfId="0" applyNumberFormat="1" applyBorder="1"/>
    <xf numFmtId="2" fontId="0" fillId="0" borderId="0" xfId="0" applyNumberFormat="1"/>
    <xf numFmtId="2" fontId="0" fillId="0" borderId="12" xfId="0" applyNumberForma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" fontId="13" fillId="0" borderId="0" xfId="0" applyNumberFormat="1" applyFont="1"/>
    <xf numFmtId="3" fontId="13" fillId="0" borderId="12" xfId="0" applyNumberFormat="1" applyFont="1" applyBorder="1"/>
    <xf numFmtId="4" fontId="13" fillId="0" borderId="12" xfId="0" applyNumberFormat="1" applyFont="1" applyBorder="1"/>
    <xf numFmtId="3" fontId="0" fillId="0" borderId="12" xfId="0" applyNumberFormat="1" applyBorder="1"/>
    <xf numFmtId="0" fontId="6" fillId="0" borderId="0" xfId="4" applyProtection="1">
      <protection locked="0"/>
    </xf>
    <xf numFmtId="0" fontId="6" fillId="5" borderId="29" xfId="4" applyFill="1" applyBorder="1" applyProtection="1">
      <protection locked="0"/>
    </xf>
    <xf numFmtId="0" fontId="6" fillId="5" borderId="13" xfId="4" applyFill="1" applyBorder="1" applyProtection="1">
      <protection locked="0"/>
    </xf>
    <xf numFmtId="3" fontId="6" fillId="0" borderId="0" xfId="4" applyNumberFormat="1" applyProtection="1">
      <protection locked="0"/>
    </xf>
    <xf numFmtId="0" fontId="6" fillId="0" borderId="0" xfId="4"/>
    <xf numFmtId="3" fontId="6" fillId="0" borderId="0" xfId="4" applyNumberFormat="1"/>
    <xf numFmtId="3" fontId="27" fillId="0" borderId="3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0" xfId="0" applyAlignment="1">
      <alignment horizontal="left" vertical="center" shrinkToFit="1"/>
    </xf>
    <xf numFmtId="0" fontId="9" fillId="0" borderId="0" xfId="0" applyFont="1"/>
    <xf numFmtId="0" fontId="24" fillId="0" borderId="0" xfId="0" applyFont="1"/>
    <xf numFmtId="3" fontId="23" fillId="2" borderId="12" xfId="0" applyNumberFormat="1" applyFont="1" applyFill="1" applyBorder="1" applyProtection="1">
      <protection locked="0"/>
    </xf>
    <xf numFmtId="3" fontId="23" fillId="2" borderId="13" xfId="0" applyNumberFormat="1" applyFont="1" applyFill="1" applyBorder="1" applyProtection="1">
      <protection locked="0"/>
    </xf>
    <xf numFmtId="3" fontId="23" fillId="2" borderId="16" xfId="0" applyNumberFormat="1" applyFont="1" applyFill="1" applyBorder="1" applyProtection="1">
      <protection locked="0"/>
    </xf>
    <xf numFmtId="3" fontId="23" fillId="2" borderId="15" xfId="0" applyNumberFormat="1" applyFont="1" applyFill="1" applyBorder="1" applyProtection="1">
      <protection locked="0"/>
    </xf>
    <xf numFmtId="3" fontId="23" fillId="2" borderId="22" xfId="0" applyNumberFormat="1" applyFont="1" applyFill="1" applyBorder="1" applyProtection="1">
      <protection locked="0"/>
    </xf>
    <xf numFmtId="0" fontId="25" fillId="8" borderId="0" xfId="0" applyFont="1" applyFill="1" applyAlignment="1">
      <alignment horizontal="center"/>
    </xf>
    <xf numFmtId="0" fontId="25" fillId="8" borderId="0" xfId="0" applyFont="1" applyFill="1" applyAlignment="1">
      <alignment horizontal="right"/>
    </xf>
    <xf numFmtId="0" fontId="14" fillId="8" borderId="0" xfId="0" applyFont="1" applyFill="1"/>
    <xf numFmtId="0" fontId="0" fillId="8" borderId="0" xfId="0" applyFill="1"/>
    <xf numFmtId="3" fontId="27" fillId="5" borderId="2" xfId="0" applyNumberFormat="1" applyFont="1" applyFill="1" applyBorder="1" applyAlignment="1">
      <alignment horizontal="right"/>
    </xf>
    <xf numFmtId="3" fontId="27" fillId="5" borderId="3" xfId="0" applyNumberFormat="1" applyFont="1" applyFill="1" applyBorder="1" applyAlignment="1">
      <alignment horizontal="right"/>
    </xf>
    <xf numFmtId="0" fontId="5" fillId="0" borderId="0" xfId="4" applyFont="1" applyProtection="1">
      <protection locked="0"/>
    </xf>
    <xf numFmtId="0" fontId="37" fillId="8" borderId="0" xfId="0" applyFont="1" applyFill="1"/>
    <xf numFmtId="0" fontId="23" fillId="0" borderId="8" xfId="0" applyFont="1" applyBorder="1" applyAlignment="1">
      <alignment horizontal="center"/>
    </xf>
    <xf numFmtId="0" fontId="23" fillId="0" borderId="8" xfId="0" applyFont="1" applyBorder="1"/>
    <xf numFmtId="0" fontId="23" fillId="5" borderId="2" xfId="0" applyFont="1" applyFill="1" applyBorder="1"/>
    <xf numFmtId="0" fontId="27" fillId="5" borderId="2" xfId="0" applyFont="1" applyFill="1" applyBorder="1"/>
    <xf numFmtId="0" fontId="23" fillId="5" borderId="47" xfId="0" applyFont="1" applyFill="1" applyBorder="1" applyAlignment="1">
      <alignment horizontal="center"/>
    </xf>
    <xf numFmtId="3" fontId="27" fillId="5" borderId="23" xfId="0" applyNumberFormat="1" applyFont="1" applyFill="1" applyBorder="1"/>
    <xf numFmtId="3" fontId="23" fillId="2" borderId="8" xfId="0" applyNumberFormat="1" applyFont="1" applyFill="1" applyBorder="1" applyProtection="1">
      <protection locked="0"/>
    </xf>
    <xf numFmtId="3" fontId="23" fillId="2" borderId="9" xfId="0" applyNumberFormat="1" applyFont="1" applyFill="1" applyBorder="1" applyProtection="1">
      <protection locked="0"/>
    </xf>
    <xf numFmtId="3" fontId="23" fillId="2" borderId="11" xfId="0" applyNumberFormat="1" applyFont="1" applyFill="1" applyBorder="1" applyProtection="1">
      <protection locked="0"/>
    </xf>
    <xf numFmtId="3" fontId="23" fillId="2" borderId="14" xfId="0" applyNumberFormat="1" applyFont="1" applyFill="1" applyBorder="1" applyProtection="1">
      <protection locked="0"/>
    </xf>
    <xf numFmtId="3" fontId="23" fillId="2" borderId="17" xfId="0" applyNumberFormat="1" applyFont="1" applyFill="1" applyBorder="1" applyProtection="1">
      <protection locked="0"/>
    </xf>
    <xf numFmtId="3" fontId="27" fillId="0" borderId="3" xfId="0" applyNumberFormat="1" applyFont="1" applyBorder="1" applyAlignment="1">
      <alignment horizontal="center" vertical="center"/>
    </xf>
    <xf numFmtId="3" fontId="27" fillId="0" borderId="31" xfId="0" applyNumberFormat="1" applyFont="1" applyBorder="1" applyAlignment="1">
      <alignment horizontal="center" vertical="center" wrapText="1"/>
    </xf>
    <xf numFmtId="0" fontId="23" fillId="5" borderId="45" xfId="0" applyFont="1" applyFill="1" applyBorder="1" applyAlignment="1">
      <alignment horizontal="center"/>
    </xf>
    <xf numFmtId="3" fontId="23" fillId="0" borderId="37" xfId="0" applyNumberFormat="1" applyFont="1" applyBorder="1" applyProtection="1">
      <protection locked="0"/>
    </xf>
    <xf numFmtId="3" fontId="23" fillId="2" borderId="36" xfId="0" applyNumberFormat="1" applyFont="1" applyFill="1" applyBorder="1" applyProtection="1">
      <protection locked="0"/>
    </xf>
    <xf numFmtId="3" fontId="23" fillId="0" borderId="29" xfId="0" applyNumberFormat="1" applyFont="1" applyBorder="1" applyAlignment="1" applyProtection="1">
      <alignment horizontal="right"/>
      <protection locked="0"/>
    </xf>
    <xf numFmtId="0" fontId="37" fillId="0" borderId="0" xfId="0" applyFont="1"/>
    <xf numFmtId="4" fontId="23" fillId="4" borderId="12" xfId="0" applyNumberFormat="1" applyFont="1" applyFill="1" applyBorder="1" applyProtection="1">
      <protection locked="0"/>
    </xf>
    <xf numFmtId="4" fontId="23" fillId="0" borderId="8" xfId="0" applyNumberFormat="1" applyFont="1" applyBorder="1" applyProtection="1">
      <protection locked="0"/>
    </xf>
    <xf numFmtId="3" fontId="23" fillId="8" borderId="12" xfId="0" applyNumberFormat="1" applyFont="1" applyFill="1" applyBorder="1" applyProtection="1">
      <protection locked="0"/>
    </xf>
    <xf numFmtId="3" fontId="27" fillId="8" borderId="12" xfId="0" applyNumberFormat="1" applyFont="1" applyFill="1" applyBorder="1" applyProtection="1">
      <protection locked="0"/>
    </xf>
    <xf numFmtId="3" fontId="23" fillId="8" borderId="33" xfId="0" applyNumberFormat="1" applyFont="1" applyFill="1" applyBorder="1" applyProtection="1">
      <protection locked="0"/>
    </xf>
    <xf numFmtId="3" fontId="23" fillId="8" borderId="13" xfId="0" applyNumberFormat="1" applyFont="1" applyFill="1" applyBorder="1" applyProtection="1">
      <protection locked="0"/>
    </xf>
    <xf numFmtId="3" fontId="23" fillId="8" borderId="16" xfId="0" applyNumberFormat="1" applyFont="1" applyFill="1" applyBorder="1" applyProtection="1">
      <protection locked="0"/>
    </xf>
    <xf numFmtId="3" fontId="23" fillId="8" borderId="43" xfId="0" applyNumberFormat="1" applyFont="1" applyFill="1" applyBorder="1" applyProtection="1">
      <protection locked="0"/>
    </xf>
    <xf numFmtId="3" fontId="23" fillId="8" borderId="15" xfId="0" applyNumberFormat="1" applyFont="1" applyFill="1" applyBorder="1" applyProtection="1">
      <protection locked="0"/>
    </xf>
    <xf numFmtId="3" fontId="23" fillId="8" borderId="22" xfId="0" applyNumberFormat="1" applyFont="1" applyFill="1" applyBorder="1" applyProtection="1">
      <protection locked="0"/>
    </xf>
    <xf numFmtId="3" fontId="23" fillId="8" borderId="36" xfId="0" applyNumberFormat="1" applyFont="1" applyFill="1" applyBorder="1" applyProtection="1">
      <protection locked="0"/>
    </xf>
    <xf numFmtId="3" fontId="23" fillId="8" borderId="37" xfId="0" applyNumberFormat="1" applyFont="1" applyFill="1" applyBorder="1" applyProtection="1">
      <protection locked="0"/>
    </xf>
    <xf numFmtId="3" fontId="23" fillId="8" borderId="14" xfId="4" applyNumberFormat="1" applyFont="1" applyFill="1" applyBorder="1" applyProtection="1">
      <protection locked="0"/>
    </xf>
    <xf numFmtId="0" fontId="6" fillId="8" borderId="13" xfId="4" applyFill="1" applyBorder="1" applyProtection="1">
      <protection locked="0"/>
    </xf>
    <xf numFmtId="3" fontId="23" fillId="8" borderId="12" xfId="4" applyNumberFormat="1" applyFont="1" applyFill="1" applyBorder="1" applyProtection="1">
      <protection locked="0"/>
    </xf>
    <xf numFmtId="3" fontId="23" fillId="8" borderId="18" xfId="4" applyNumberFormat="1" applyFont="1" applyFill="1" applyBorder="1" applyProtection="1">
      <protection locked="0"/>
    </xf>
    <xf numFmtId="3" fontId="27" fillId="8" borderId="11" xfId="0" applyNumberFormat="1" applyFont="1" applyFill="1" applyBorder="1" applyAlignment="1" applyProtection="1">
      <alignment horizontal="right" vertical="center"/>
      <protection locked="0"/>
    </xf>
    <xf numFmtId="3" fontId="23" fillId="8" borderId="13" xfId="0" applyNumberFormat="1" applyFont="1" applyFill="1" applyBorder="1" applyAlignment="1" applyProtection="1">
      <alignment horizontal="right" vertical="center"/>
      <protection locked="0"/>
    </xf>
    <xf numFmtId="3" fontId="23" fillId="8" borderId="12" xfId="1" applyNumberFormat="1" applyFont="1" applyFill="1" applyBorder="1" applyProtection="1">
      <protection locked="0"/>
    </xf>
    <xf numFmtId="49" fontId="23" fillId="8" borderId="12" xfId="1" applyNumberFormat="1" applyFont="1" applyFill="1" applyBorder="1" applyAlignment="1" applyProtection="1">
      <alignment horizontal="center"/>
      <protection locked="0"/>
    </xf>
    <xf numFmtId="9" fontId="23" fillId="8" borderId="12" xfId="2" applyFont="1" applyFill="1" applyBorder="1" applyAlignment="1" applyProtection="1">
      <alignment horizontal="center" vertical="center"/>
      <protection locked="0"/>
    </xf>
    <xf numFmtId="0" fontId="23" fillId="8" borderId="12" xfId="1" applyFont="1" applyFill="1" applyBorder="1" applyAlignment="1" applyProtection="1">
      <alignment horizontal="center"/>
      <protection locked="0"/>
    </xf>
    <xf numFmtId="0" fontId="43" fillId="0" borderId="3" xfId="4" applyFont="1" applyBorder="1" applyAlignment="1" applyProtection="1">
      <alignment vertical="center"/>
      <protection locked="0"/>
    </xf>
    <xf numFmtId="0" fontId="17" fillId="0" borderId="0" xfId="1" applyFont="1"/>
    <xf numFmtId="0" fontId="13" fillId="0" borderId="0" xfId="1"/>
    <xf numFmtId="0" fontId="23" fillId="0" borderId="8" xfId="3" applyFont="1" applyBorder="1" applyProtection="1">
      <protection locked="0"/>
    </xf>
    <xf numFmtId="3" fontId="23" fillId="0" borderId="8" xfId="3" applyNumberFormat="1" applyFont="1" applyBorder="1" applyProtection="1">
      <protection locked="0"/>
    </xf>
    <xf numFmtId="3" fontId="23" fillId="0" borderId="11" xfId="3" applyNumberFormat="1" applyFont="1" applyBorder="1" applyProtection="1">
      <protection locked="0"/>
    </xf>
    <xf numFmtId="0" fontId="23" fillId="0" borderId="12" xfId="3" applyFont="1" applyBorder="1" applyProtection="1">
      <protection locked="0"/>
    </xf>
    <xf numFmtId="3" fontId="23" fillId="0" borderId="12" xfId="3" applyNumberFormat="1" applyFont="1" applyBorder="1" applyProtection="1">
      <protection locked="0"/>
    </xf>
    <xf numFmtId="3" fontId="23" fillId="0" borderId="13" xfId="3" applyNumberFormat="1" applyFont="1" applyBorder="1" applyProtection="1">
      <protection locked="0"/>
    </xf>
    <xf numFmtId="0" fontId="23" fillId="0" borderId="15" xfId="3" applyFont="1" applyBorder="1" applyProtection="1">
      <protection locked="0"/>
    </xf>
    <xf numFmtId="3" fontId="23" fillId="0" borderId="15" xfId="3" applyNumberFormat="1" applyFont="1" applyBorder="1" applyProtection="1">
      <protection locked="0"/>
    </xf>
    <xf numFmtId="3" fontId="23" fillId="0" borderId="22" xfId="3" applyNumberFormat="1" applyFont="1" applyBorder="1" applyProtection="1">
      <protection locked="0"/>
    </xf>
    <xf numFmtId="4" fontId="13" fillId="0" borderId="0" xfId="1" applyNumberFormat="1"/>
    <xf numFmtId="0" fontId="7" fillId="0" borderId="0" xfId="3"/>
    <xf numFmtId="3" fontId="23" fillId="0" borderId="36" xfId="0" applyNumberFormat="1" applyFont="1" applyBorder="1" applyProtection="1"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3" fontId="27" fillId="0" borderId="2" xfId="0" applyNumberFormat="1" applyFont="1" applyBorder="1" applyAlignment="1" applyProtection="1">
      <alignment horizontal="center"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/>
      <protection locked="0"/>
    </xf>
    <xf numFmtId="0" fontId="23" fillId="5" borderId="4" xfId="0" applyFont="1" applyFill="1" applyBorder="1" applyAlignment="1" applyProtection="1">
      <alignment horizontal="center"/>
      <protection locked="0"/>
    </xf>
    <xf numFmtId="0" fontId="23" fillId="5" borderId="10" xfId="0" applyFont="1" applyFill="1" applyBorder="1" applyAlignment="1" applyProtection="1">
      <alignment horizontal="center"/>
      <protection locked="0"/>
    </xf>
    <xf numFmtId="0" fontId="23" fillId="5" borderId="9" xfId="0" applyFont="1" applyFill="1" applyBorder="1" applyAlignment="1" applyProtection="1">
      <alignment horizontal="left"/>
      <protection locked="0"/>
    </xf>
    <xf numFmtId="0" fontId="23" fillId="5" borderId="10" xfId="0" applyFont="1" applyFill="1" applyBorder="1" applyAlignment="1" applyProtection="1">
      <alignment horizontal="left"/>
      <protection locked="0"/>
    </xf>
    <xf numFmtId="0" fontId="23" fillId="5" borderId="7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23" fillId="0" borderId="14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3" fillId="0" borderId="15" xfId="0" applyFont="1" applyBorder="1" applyAlignment="1" applyProtection="1">
      <alignment horizontal="center"/>
      <protection locked="0"/>
    </xf>
    <xf numFmtId="0" fontId="23" fillId="8" borderId="15" xfId="0" applyFont="1" applyFill="1" applyBorder="1" applyProtection="1">
      <protection locked="0"/>
    </xf>
    <xf numFmtId="0" fontId="23" fillId="5" borderId="16" xfId="0" applyFont="1" applyFill="1" applyBorder="1" applyAlignment="1" applyProtection="1">
      <alignment horizontal="center"/>
      <protection locked="0"/>
    </xf>
    <xf numFmtId="0" fontId="23" fillId="0" borderId="10" xfId="0" applyFont="1" applyBorder="1" applyProtection="1">
      <protection locked="0"/>
    </xf>
    <xf numFmtId="0" fontId="23" fillId="0" borderId="16" xfId="0" applyFont="1" applyBorder="1" applyProtection="1">
      <protection locked="0"/>
    </xf>
    <xf numFmtId="0" fontId="23" fillId="0" borderId="0" xfId="0" applyFont="1" applyProtection="1">
      <protection locked="0"/>
    </xf>
    <xf numFmtId="0" fontId="23" fillId="0" borderId="17" xfId="0" applyFont="1" applyBorder="1" applyProtection="1">
      <protection locked="0"/>
    </xf>
    <xf numFmtId="0" fontId="23" fillId="0" borderId="9" xfId="0" applyFont="1" applyBorder="1" applyProtection="1">
      <protection locked="0"/>
    </xf>
    <xf numFmtId="0" fontId="23" fillId="0" borderId="19" xfId="0" applyFont="1" applyBorder="1" applyProtection="1">
      <protection locked="0"/>
    </xf>
    <xf numFmtId="0" fontId="23" fillId="5" borderId="18" xfId="0" applyFont="1" applyFill="1" applyBorder="1" applyAlignment="1" applyProtection="1">
      <alignment horizontal="center"/>
      <protection locked="0"/>
    </xf>
    <xf numFmtId="0" fontId="23" fillId="0" borderId="15" xfId="0" applyFont="1" applyBorder="1" applyProtection="1">
      <protection locked="0"/>
    </xf>
    <xf numFmtId="0" fontId="23" fillId="0" borderId="25" xfId="0" applyFont="1" applyBorder="1" applyProtection="1">
      <protection locked="0"/>
    </xf>
    <xf numFmtId="0" fontId="23" fillId="5" borderId="21" xfId="0" applyFont="1" applyFill="1" applyBorder="1" applyAlignment="1" applyProtection="1">
      <alignment horizontal="center"/>
      <protection locked="0"/>
    </xf>
    <xf numFmtId="0" fontId="23" fillId="0" borderId="5" xfId="0" applyFont="1" applyBorder="1" applyProtection="1">
      <protection locked="0"/>
    </xf>
    <xf numFmtId="0" fontId="23" fillId="0" borderId="36" xfId="0" applyFont="1" applyBorder="1" applyAlignment="1" applyProtection="1">
      <alignment horizontal="center"/>
      <protection locked="0"/>
    </xf>
    <xf numFmtId="0" fontId="23" fillId="0" borderId="41" xfId="0" applyFont="1" applyBorder="1" applyProtection="1">
      <protection locked="0"/>
    </xf>
    <xf numFmtId="0" fontId="23" fillId="5" borderId="20" xfId="0" applyFont="1" applyFill="1" applyBorder="1" applyAlignment="1" applyProtection="1">
      <alignment horizontal="center"/>
      <protection locked="0"/>
    </xf>
    <xf numFmtId="0" fontId="27" fillId="5" borderId="24" xfId="0" applyFont="1" applyFill="1" applyBorder="1" applyProtection="1">
      <protection locked="0"/>
    </xf>
    <xf numFmtId="0" fontId="23" fillId="5" borderId="26" xfId="0" applyFont="1" applyFill="1" applyBorder="1" applyProtection="1">
      <protection locked="0"/>
    </xf>
    <xf numFmtId="0" fontId="21" fillId="0" borderId="0" xfId="0" applyFont="1" applyAlignment="1">
      <alignment vertical="center"/>
    </xf>
    <xf numFmtId="0" fontId="18" fillId="8" borderId="0" xfId="0" applyFont="1" applyFill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8" fillId="0" borderId="17" xfId="0" applyFont="1" applyBorder="1" applyProtection="1">
      <protection locked="0"/>
    </xf>
    <xf numFmtId="0" fontId="18" fillId="0" borderId="19" xfId="0" applyFont="1" applyBorder="1" applyProtection="1">
      <protection locked="0"/>
    </xf>
    <xf numFmtId="0" fontId="18" fillId="0" borderId="9" xfId="0" applyFont="1" applyBorder="1" applyProtection="1">
      <protection locked="0"/>
    </xf>
    <xf numFmtId="0" fontId="18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9" fillId="8" borderId="0" xfId="0" applyFont="1" applyFill="1" applyProtection="1">
      <protection locked="0"/>
    </xf>
    <xf numFmtId="0" fontId="45" fillId="0" borderId="0" xfId="0" applyFont="1" applyProtection="1">
      <protection locked="0"/>
    </xf>
    <xf numFmtId="0" fontId="25" fillId="8" borderId="0" xfId="0" applyFont="1" applyFill="1" applyAlignment="1" applyProtection="1">
      <alignment horizontal="center"/>
      <protection locked="0"/>
    </xf>
    <xf numFmtId="0" fontId="27" fillId="0" borderId="2" xfId="4" applyFont="1" applyBorder="1" applyAlignment="1" applyProtection="1">
      <alignment horizontal="center" vertical="center"/>
      <protection locked="0"/>
    </xf>
    <xf numFmtId="0" fontId="23" fillId="5" borderId="34" xfId="4" applyFont="1" applyFill="1" applyBorder="1" applyAlignment="1" applyProtection="1">
      <alignment horizontal="left"/>
      <protection locked="0"/>
    </xf>
    <xf numFmtId="0" fontId="23" fillId="5" borderId="40" xfId="4" applyFont="1" applyFill="1" applyBorder="1" applyAlignment="1" applyProtection="1">
      <alignment horizontal="left"/>
      <protection locked="0"/>
    </xf>
    <xf numFmtId="0" fontId="23" fillId="0" borderId="12" xfId="4" applyFont="1" applyBorder="1" applyAlignment="1" applyProtection="1">
      <alignment horizontal="center"/>
      <protection locked="0"/>
    </xf>
    <xf numFmtId="0" fontId="23" fillId="0" borderId="9" xfId="4" applyFont="1" applyBorder="1" applyAlignment="1" applyProtection="1">
      <alignment horizontal="center"/>
      <protection locked="0"/>
    </xf>
    <xf numFmtId="0" fontId="23" fillId="0" borderId="9" xfId="4" applyFont="1" applyBorder="1" applyAlignment="1" applyProtection="1">
      <alignment horizontal="left"/>
      <protection locked="0"/>
    </xf>
    <xf numFmtId="0" fontId="23" fillId="8" borderId="12" xfId="4" applyFont="1" applyFill="1" applyBorder="1" applyAlignment="1" applyProtection="1">
      <alignment horizontal="center"/>
      <protection locked="0"/>
    </xf>
    <xf numFmtId="0" fontId="23" fillId="8" borderId="9" xfId="4" applyFont="1" applyFill="1" applyBorder="1" applyAlignment="1" applyProtection="1">
      <alignment horizontal="center"/>
      <protection locked="0"/>
    </xf>
    <xf numFmtId="0" fontId="23" fillId="8" borderId="9" xfId="4" applyFont="1" applyFill="1" applyBorder="1" applyAlignment="1" applyProtection="1">
      <alignment horizontal="left"/>
      <protection locked="0"/>
    </xf>
    <xf numFmtId="0" fontId="23" fillId="0" borderId="14" xfId="4" applyFont="1" applyBorder="1" applyAlignment="1" applyProtection="1">
      <alignment horizontal="center"/>
      <protection locked="0"/>
    </xf>
    <xf numFmtId="0" fontId="23" fillId="0" borderId="14" xfId="4" applyFont="1" applyBorder="1" applyProtection="1">
      <protection locked="0"/>
    </xf>
    <xf numFmtId="0" fontId="23" fillId="8" borderId="12" xfId="4" applyFont="1" applyFill="1" applyBorder="1" applyProtection="1">
      <protection locked="0"/>
    </xf>
    <xf numFmtId="0" fontId="23" fillId="0" borderId="10" xfId="4" applyFont="1" applyBorder="1" applyAlignment="1" applyProtection="1">
      <alignment horizontal="center"/>
      <protection locked="0"/>
    </xf>
    <xf numFmtId="0" fontId="23" fillId="0" borderId="10" xfId="4" applyFont="1" applyBorder="1" applyProtection="1">
      <protection locked="0"/>
    </xf>
    <xf numFmtId="0" fontId="23" fillId="8" borderId="12" xfId="4" applyFont="1" applyFill="1" applyBorder="1" applyAlignment="1" applyProtection="1">
      <alignment horizontal="left"/>
      <protection locked="0"/>
    </xf>
    <xf numFmtId="0" fontId="23" fillId="0" borderId="12" xfId="4" applyFont="1" applyBorder="1" applyProtection="1">
      <protection locked="0"/>
    </xf>
    <xf numFmtId="0" fontId="23" fillId="0" borderId="15" xfId="4" applyFont="1" applyBorder="1" applyAlignment="1" applyProtection="1">
      <alignment horizontal="center"/>
      <protection locked="0"/>
    </xf>
    <xf numFmtId="0" fontId="23" fillId="0" borderId="15" xfId="4" applyFont="1" applyBorder="1" applyProtection="1">
      <protection locked="0"/>
    </xf>
    <xf numFmtId="0" fontId="23" fillId="8" borderId="15" xfId="4" applyFont="1" applyFill="1" applyBorder="1" applyAlignment="1" applyProtection="1">
      <alignment horizontal="center"/>
      <protection locked="0"/>
    </xf>
    <xf numFmtId="0" fontId="23" fillId="8" borderId="15" xfId="4" applyFont="1" applyFill="1" applyBorder="1" applyProtection="1"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 applyProtection="1">
      <alignment horizontal="right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wrapText="1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wrapText="1"/>
      <protection locked="0"/>
    </xf>
    <xf numFmtId="0" fontId="27" fillId="0" borderId="12" xfId="0" applyFont="1" applyBorder="1" applyAlignment="1" applyProtection="1">
      <alignment wrapText="1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wrapText="1"/>
      <protection locked="0"/>
    </xf>
    <xf numFmtId="3" fontId="23" fillId="0" borderId="0" xfId="0" applyNumberFormat="1" applyFont="1" applyAlignment="1" applyProtection="1">
      <alignment horizontal="right" vertical="center"/>
      <protection locked="0"/>
    </xf>
    <xf numFmtId="0" fontId="30" fillId="0" borderId="0" xfId="0" applyFont="1" applyProtection="1"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3" fontId="26" fillId="0" borderId="0" xfId="0" applyNumberFormat="1" applyFont="1" applyAlignment="1" applyProtection="1">
      <alignment horizontal="right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center"/>
      <protection locked="0"/>
    </xf>
    <xf numFmtId="3" fontId="27" fillId="3" borderId="3" xfId="0" applyNumberFormat="1" applyFont="1" applyFill="1" applyBorder="1" applyAlignment="1" applyProtection="1">
      <alignment horizontal="center"/>
      <protection locked="0"/>
    </xf>
    <xf numFmtId="0" fontId="27" fillId="3" borderId="4" xfId="0" applyFont="1" applyFill="1" applyBorder="1" applyAlignment="1" applyProtection="1">
      <alignment horizontal="center" vertical="center"/>
      <protection locked="0"/>
    </xf>
    <xf numFmtId="0" fontId="27" fillId="3" borderId="8" xfId="0" applyFont="1" applyFill="1" applyBorder="1" applyProtection="1">
      <protection locked="0"/>
    </xf>
    <xf numFmtId="0" fontId="27" fillId="3" borderId="7" xfId="0" applyFont="1" applyFill="1" applyBorder="1" applyAlignment="1" applyProtection="1">
      <alignment horizontal="center" vertical="center"/>
      <protection locked="0"/>
    </xf>
    <xf numFmtId="0" fontId="27" fillId="3" borderId="12" xfId="0" applyFont="1" applyFill="1" applyBorder="1" applyProtection="1">
      <protection locked="0"/>
    </xf>
    <xf numFmtId="3" fontId="23" fillId="8" borderId="13" xfId="0" applyNumberFormat="1" applyFont="1" applyFill="1" applyBorder="1" applyAlignment="1" applyProtection="1">
      <alignment horizontal="right"/>
      <protection locked="0"/>
    </xf>
    <xf numFmtId="0" fontId="27" fillId="3" borderId="21" xfId="0" applyFont="1" applyFill="1" applyBorder="1" applyAlignment="1" applyProtection="1">
      <alignment horizontal="center" vertical="center"/>
      <protection locked="0"/>
    </xf>
    <xf numFmtId="0" fontId="23" fillId="0" borderId="36" xfId="0" applyFont="1" applyBorder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/>
      <protection locked="0"/>
    </xf>
    <xf numFmtId="3" fontId="32" fillId="0" borderId="0" xfId="0" applyNumberFormat="1" applyFont="1" applyAlignment="1" applyProtection="1">
      <alignment horizontal="right"/>
      <protection locked="0"/>
    </xf>
    <xf numFmtId="3" fontId="23" fillId="0" borderId="0" xfId="0" applyNumberFormat="1" applyFont="1" applyAlignment="1" applyProtection="1">
      <alignment horizontal="right"/>
      <protection locked="0"/>
    </xf>
    <xf numFmtId="0" fontId="23" fillId="0" borderId="8" xfId="0" applyFont="1" applyBorder="1" applyProtection="1">
      <protection locked="0"/>
    </xf>
    <xf numFmtId="0" fontId="33" fillId="0" borderId="12" xfId="0" applyFont="1" applyBorder="1" applyProtection="1">
      <protection locked="0"/>
    </xf>
    <xf numFmtId="0" fontId="27" fillId="3" borderId="27" xfId="0" applyFont="1" applyFill="1" applyBorder="1" applyAlignment="1" applyProtection="1">
      <alignment horizontal="center" vertical="center"/>
      <protection locked="0"/>
    </xf>
    <xf numFmtId="0" fontId="23" fillId="0" borderId="28" xfId="0" applyFont="1" applyBorder="1" applyProtection="1"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3" fontId="28" fillId="3" borderId="2" xfId="0" applyNumberFormat="1" applyFont="1" applyFill="1" applyBorder="1" applyAlignment="1" applyProtection="1">
      <alignment horizontal="center" vertical="center"/>
      <protection locked="0"/>
    </xf>
    <xf numFmtId="3" fontId="27" fillId="3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4" borderId="7" xfId="0" applyFont="1" applyFill="1" applyBorder="1" applyAlignment="1" applyProtection="1">
      <alignment horizontal="center"/>
      <protection locked="0"/>
    </xf>
    <xf numFmtId="0" fontId="23" fillId="4" borderId="12" xfId="0" applyFont="1" applyFill="1" applyBorder="1" applyProtection="1">
      <protection locked="0"/>
    </xf>
    <xf numFmtId="0" fontId="27" fillId="0" borderId="7" xfId="0" applyFont="1" applyBorder="1" applyAlignment="1" applyProtection="1">
      <alignment horizontal="center"/>
      <protection locked="0"/>
    </xf>
    <xf numFmtId="0" fontId="27" fillId="0" borderId="12" xfId="0" applyFont="1" applyBorder="1" applyProtection="1"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23" fillId="8" borderId="12" xfId="0" applyFont="1" applyFill="1" applyBorder="1" applyProtection="1">
      <protection locked="0"/>
    </xf>
    <xf numFmtId="0" fontId="27" fillId="5" borderId="7" xfId="0" applyFont="1" applyFill="1" applyBorder="1" applyAlignment="1" applyProtection="1">
      <alignment horizontal="center"/>
      <protection locked="0"/>
    </xf>
    <xf numFmtId="0" fontId="27" fillId="5" borderId="12" xfId="0" applyFont="1" applyFill="1" applyBorder="1" applyProtection="1">
      <protection locked="0"/>
    </xf>
    <xf numFmtId="0" fontId="27" fillId="9" borderId="7" xfId="0" applyFont="1" applyFill="1" applyBorder="1" applyAlignment="1" applyProtection="1">
      <alignment horizontal="center"/>
      <protection locked="0"/>
    </xf>
    <xf numFmtId="0" fontId="27" fillId="9" borderId="12" xfId="0" applyFont="1" applyFill="1" applyBorder="1" applyProtection="1">
      <protection locked="0"/>
    </xf>
    <xf numFmtId="0" fontId="23" fillId="0" borderId="21" xfId="0" applyFont="1" applyBorder="1" applyAlignment="1" applyProtection="1">
      <alignment horizontal="center"/>
      <protection locked="0"/>
    </xf>
    <xf numFmtId="0" fontId="23" fillId="0" borderId="0" xfId="3" applyFont="1" applyProtection="1"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27" fillId="0" borderId="2" xfId="3" applyFont="1" applyBorder="1" applyAlignment="1" applyProtection="1">
      <alignment horizontal="center" vertical="center" wrapText="1"/>
      <protection locked="0"/>
    </xf>
    <xf numFmtId="3" fontId="27" fillId="0" borderId="2" xfId="3" applyNumberFormat="1" applyFont="1" applyBorder="1" applyAlignment="1" applyProtection="1">
      <alignment horizontal="center" vertical="center" wrapText="1"/>
      <protection locked="0"/>
    </xf>
    <xf numFmtId="3" fontId="27" fillId="0" borderId="3" xfId="3" applyNumberFormat="1" applyFont="1" applyBorder="1" applyAlignment="1" applyProtection="1">
      <alignment horizontal="center" vertical="center" wrapText="1"/>
      <protection locked="0"/>
    </xf>
    <xf numFmtId="3" fontId="27" fillId="0" borderId="0" xfId="3" applyNumberFormat="1" applyFont="1" applyAlignment="1" applyProtection="1">
      <alignment horizontal="center" vertical="center"/>
      <protection locked="0"/>
    </xf>
    <xf numFmtId="0" fontId="27" fillId="0" borderId="4" xfId="3" applyFont="1" applyBorder="1" applyAlignment="1" applyProtection="1">
      <alignment horizontal="center" vertical="center"/>
      <protection locked="0"/>
    </xf>
    <xf numFmtId="3" fontId="23" fillId="0" borderId="0" xfId="3" applyNumberFormat="1" applyFont="1" applyAlignment="1" applyProtection="1">
      <alignment horizontal="left"/>
      <protection locked="0"/>
    </xf>
    <xf numFmtId="0" fontId="27" fillId="0" borderId="7" xfId="3" applyFont="1" applyBorder="1" applyAlignment="1" applyProtection="1">
      <alignment horizontal="center" vertical="center"/>
      <protection locked="0"/>
    </xf>
    <xf numFmtId="0" fontId="27" fillId="0" borderId="20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center"/>
      <protection locked="0"/>
    </xf>
    <xf numFmtId="0" fontId="27" fillId="0" borderId="2" xfId="3" applyFont="1" applyBorder="1" applyProtection="1">
      <protection locked="0"/>
    </xf>
    <xf numFmtId="3" fontId="27" fillId="0" borderId="0" xfId="3" applyNumberFormat="1" applyFont="1" applyProtection="1">
      <protection locked="0"/>
    </xf>
    <xf numFmtId="3" fontId="23" fillId="0" borderId="0" xfId="3" applyNumberFormat="1" applyFont="1" applyProtection="1">
      <protection locked="0"/>
    </xf>
    <xf numFmtId="0" fontId="27" fillId="0" borderId="8" xfId="3" applyFont="1" applyBorder="1" applyProtection="1">
      <protection locked="0"/>
    </xf>
    <xf numFmtId="0" fontId="27" fillId="0" borderId="12" xfId="3" applyFont="1" applyBorder="1" applyProtection="1">
      <protection locked="0"/>
    </xf>
    <xf numFmtId="0" fontId="27" fillId="11" borderId="45" xfId="1" applyFont="1" applyFill="1" applyBorder="1" applyAlignment="1" applyProtection="1">
      <alignment horizontal="center" vertical="center" wrapText="1"/>
      <protection locked="0"/>
    </xf>
    <xf numFmtId="0" fontId="27" fillId="11" borderId="6" xfId="1" applyFont="1" applyFill="1" applyBorder="1" applyAlignment="1" applyProtection="1">
      <alignment horizontal="center" vertical="center" wrapText="1"/>
      <protection locked="0"/>
    </xf>
    <xf numFmtId="3" fontId="27" fillId="11" borderId="6" xfId="1" applyNumberFormat="1" applyFont="1" applyFill="1" applyBorder="1" applyAlignment="1" applyProtection="1">
      <alignment horizontal="center" vertical="center"/>
      <protection locked="0"/>
    </xf>
    <xf numFmtId="3" fontId="27" fillId="11" borderId="6" xfId="1" applyNumberFormat="1" applyFont="1" applyFill="1" applyBorder="1" applyAlignment="1" applyProtection="1">
      <alignment horizontal="center" vertical="center" wrapText="1"/>
      <protection locked="0"/>
    </xf>
    <xf numFmtId="9" fontId="27" fillId="11" borderId="6" xfId="2" applyFont="1" applyFill="1" applyBorder="1" applyAlignment="1" applyProtection="1">
      <alignment horizontal="center" vertical="center" wrapText="1"/>
      <protection locked="0"/>
    </xf>
    <xf numFmtId="3" fontId="27" fillId="11" borderId="3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1" applyFont="1" applyBorder="1" applyAlignment="1" applyProtection="1">
      <alignment horizontal="center"/>
      <protection locked="0"/>
    </xf>
    <xf numFmtId="0" fontId="27" fillId="0" borderId="8" xfId="1" applyFont="1" applyBorder="1" applyAlignment="1" applyProtection="1">
      <alignment horizontal="center"/>
      <protection locked="0"/>
    </xf>
    <xf numFmtId="0" fontId="27" fillId="11" borderId="8" xfId="1" applyFont="1" applyFill="1" applyBorder="1" applyAlignment="1" applyProtection="1">
      <alignment horizontal="center"/>
      <protection locked="0"/>
    </xf>
    <xf numFmtId="9" fontId="27" fillId="11" borderId="8" xfId="2" applyFont="1" applyFill="1" applyBorder="1" applyAlignment="1" applyProtection="1">
      <alignment horizontal="center" vertical="center"/>
      <protection locked="0"/>
    </xf>
    <xf numFmtId="0" fontId="27" fillId="0" borderId="7" xfId="1" applyFont="1" applyBorder="1" applyAlignment="1" applyProtection="1">
      <alignment horizontal="center"/>
      <protection locked="0"/>
    </xf>
    <xf numFmtId="0" fontId="23" fillId="0" borderId="12" xfId="1" applyFont="1" applyBorder="1" applyAlignment="1" applyProtection="1">
      <alignment horizontal="center"/>
      <protection locked="0"/>
    </xf>
    <xf numFmtId="0" fontId="27" fillId="0" borderId="12" xfId="1" applyFont="1" applyBorder="1" applyAlignment="1" applyProtection="1">
      <alignment horizontal="center"/>
      <protection locked="0"/>
    </xf>
    <xf numFmtId="4" fontId="27" fillId="11" borderId="12" xfId="1" applyNumberFormat="1" applyFont="1" applyFill="1" applyBorder="1" applyAlignment="1" applyProtection="1">
      <alignment horizontal="center"/>
      <protection locked="0"/>
    </xf>
    <xf numFmtId="9" fontId="27" fillId="11" borderId="12" xfId="2" applyFont="1" applyFill="1" applyBorder="1" applyAlignment="1" applyProtection="1">
      <alignment horizontal="center" vertical="center"/>
      <protection locked="0"/>
    </xf>
    <xf numFmtId="0" fontId="27" fillId="0" borderId="20" xfId="1" applyFont="1" applyBorder="1" applyAlignment="1" applyProtection="1">
      <alignment horizontal="center"/>
      <protection locked="0"/>
    </xf>
    <xf numFmtId="0" fontId="27" fillId="0" borderId="15" xfId="1" applyFont="1" applyBorder="1" applyAlignment="1" applyProtection="1">
      <alignment horizontal="center" wrapText="1"/>
      <protection locked="0"/>
    </xf>
    <xf numFmtId="4" fontId="27" fillId="11" borderId="15" xfId="1" applyNumberFormat="1" applyFont="1" applyFill="1" applyBorder="1" applyAlignment="1" applyProtection="1">
      <alignment horizontal="center"/>
      <protection locked="0"/>
    </xf>
    <xf numFmtId="9" fontId="27" fillId="11" borderId="15" xfId="2" applyFont="1" applyFill="1" applyBorder="1" applyAlignment="1" applyProtection="1">
      <alignment horizontal="center" vertical="center"/>
      <protection locked="0"/>
    </xf>
    <xf numFmtId="0" fontId="27" fillId="7" borderId="45" xfId="1" applyFont="1" applyFill="1" applyBorder="1" applyAlignment="1" applyProtection="1">
      <alignment horizontal="center" vertical="center" wrapText="1"/>
      <protection locked="0"/>
    </xf>
    <xf numFmtId="0" fontId="27" fillId="7" borderId="6" xfId="1" applyFont="1" applyFill="1" applyBorder="1" applyAlignment="1" applyProtection="1">
      <alignment horizontal="center" vertical="center" wrapText="1"/>
      <protection locked="0"/>
    </xf>
    <xf numFmtId="3" fontId="27" fillId="7" borderId="6" xfId="1" applyNumberFormat="1" applyFont="1" applyFill="1" applyBorder="1" applyAlignment="1" applyProtection="1">
      <alignment horizontal="center" vertical="center"/>
      <protection locked="0"/>
    </xf>
    <xf numFmtId="3" fontId="27" fillId="7" borderId="6" xfId="1" applyNumberFormat="1" applyFont="1" applyFill="1" applyBorder="1" applyAlignment="1" applyProtection="1">
      <alignment horizontal="center" vertical="center" wrapText="1"/>
      <protection locked="0"/>
    </xf>
    <xf numFmtId="9" fontId="27" fillId="7" borderId="6" xfId="2" applyFont="1" applyFill="1" applyBorder="1" applyAlignment="1" applyProtection="1">
      <alignment horizontal="center" vertical="center" wrapText="1"/>
      <protection locked="0"/>
    </xf>
    <xf numFmtId="3" fontId="27" fillId="7" borderId="31" xfId="1" applyNumberFormat="1" applyFont="1" applyFill="1" applyBorder="1" applyAlignment="1" applyProtection="1">
      <alignment horizontal="center" vertical="center" wrapText="1"/>
      <protection locked="0"/>
    </xf>
    <xf numFmtId="4" fontId="27" fillId="12" borderId="8" xfId="1" applyNumberFormat="1" applyFont="1" applyFill="1" applyBorder="1" applyAlignment="1" applyProtection="1">
      <alignment horizontal="center"/>
      <protection locked="0"/>
    </xf>
    <xf numFmtId="9" fontId="27" fillId="12" borderId="8" xfId="2" applyFont="1" applyFill="1" applyBorder="1" applyAlignment="1" applyProtection="1">
      <alignment horizontal="center" vertical="center"/>
      <protection locked="0"/>
    </xf>
    <xf numFmtId="4" fontId="27" fillId="12" borderId="12" xfId="1" applyNumberFormat="1" applyFont="1" applyFill="1" applyBorder="1" applyAlignment="1" applyProtection="1">
      <alignment horizontal="center"/>
      <protection locked="0"/>
    </xf>
    <xf numFmtId="9" fontId="27" fillId="12" borderId="12" xfId="2" applyFont="1" applyFill="1" applyBorder="1" applyAlignment="1" applyProtection="1">
      <alignment horizontal="center" vertical="center"/>
      <protection locked="0"/>
    </xf>
    <xf numFmtId="4" fontId="27" fillId="12" borderId="15" xfId="1" applyNumberFormat="1" applyFont="1" applyFill="1" applyBorder="1" applyAlignment="1" applyProtection="1">
      <alignment horizontal="center"/>
      <protection locked="0"/>
    </xf>
    <xf numFmtId="9" fontId="27" fillId="12" borderId="15" xfId="2" applyFont="1" applyFill="1" applyBorder="1" applyAlignment="1" applyProtection="1">
      <alignment horizontal="center" vertical="center"/>
      <protection locked="0"/>
    </xf>
    <xf numFmtId="0" fontId="27" fillId="13" borderId="1" xfId="1" applyFont="1" applyFill="1" applyBorder="1" applyAlignment="1" applyProtection="1">
      <alignment horizontal="center"/>
      <protection locked="0"/>
    </xf>
    <xf numFmtId="0" fontId="27" fillId="3" borderId="2" xfId="1" applyFont="1" applyFill="1" applyBorder="1" applyAlignment="1" applyProtection="1">
      <alignment horizontal="left"/>
      <protection locked="0"/>
    </xf>
    <xf numFmtId="0" fontId="27" fillId="3" borderId="2" xfId="1" applyFont="1" applyFill="1" applyBorder="1" applyAlignment="1" applyProtection="1">
      <alignment horizontal="center"/>
      <protection locked="0"/>
    </xf>
    <xf numFmtId="9" fontId="27" fillId="3" borderId="2" xfId="2" applyFont="1" applyFill="1" applyBorder="1" applyAlignment="1" applyProtection="1">
      <alignment horizontal="center" vertical="center"/>
      <protection locked="0"/>
    </xf>
    <xf numFmtId="0" fontId="23" fillId="0" borderId="0" xfId="1" applyFont="1" applyProtection="1">
      <protection locked="0"/>
    </xf>
    <xf numFmtId="3" fontId="23" fillId="0" borderId="0" xfId="1" applyNumberFormat="1" applyFont="1" applyProtection="1">
      <protection locked="0"/>
    </xf>
    <xf numFmtId="0" fontId="23" fillId="0" borderId="0" xfId="1" applyFont="1" applyAlignment="1" applyProtection="1">
      <alignment horizontal="center"/>
      <protection locked="0"/>
    </xf>
    <xf numFmtId="9" fontId="23" fillId="0" borderId="0" xfId="2" applyFont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right"/>
      <protection locked="0"/>
    </xf>
    <xf numFmtId="0" fontId="34" fillId="0" borderId="0" xfId="1" applyFont="1" applyProtection="1">
      <protection locked="0"/>
    </xf>
    <xf numFmtId="3" fontId="34" fillId="0" borderId="0" xfId="0" applyNumberFormat="1" applyFont="1" applyProtection="1">
      <protection locked="0"/>
    </xf>
    <xf numFmtId="3" fontId="34" fillId="0" borderId="0" xfId="0" applyNumberFormat="1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3" fontId="32" fillId="0" borderId="0" xfId="0" applyNumberFormat="1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49" fontId="27" fillId="0" borderId="2" xfId="0" applyNumberFormat="1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0" fontId="23" fillId="5" borderId="8" xfId="0" applyFont="1" applyFill="1" applyBorder="1" applyAlignment="1" applyProtection="1">
      <alignment horizontal="center"/>
      <protection locked="0"/>
    </xf>
    <xf numFmtId="0" fontId="23" fillId="5" borderId="12" xfId="0" applyFont="1" applyFill="1" applyBorder="1" applyAlignment="1" applyProtection="1">
      <alignment horizontal="center"/>
      <protection locked="0"/>
    </xf>
    <xf numFmtId="0" fontId="23" fillId="5" borderId="14" xfId="0" applyFont="1" applyFill="1" applyBorder="1" applyAlignment="1" applyProtection="1">
      <alignment horizontal="center"/>
      <protection locked="0"/>
    </xf>
    <xf numFmtId="0" fontId="23" fillId="0" borderId="20" xfId="0" applyFont="1" applyBorder="1" applyAlignment="1" applyProtection="1">
      <alignment horizontal="center"/>
      <protection locked="0"/>
    </xf>
    <xf numFmtId="0" fontId="23" fillId="0" borderId="6" xfId="0" applyFont="1" applyBorder="1" applyProtection="1">
      <protection locked="0"/>
    </xf>
    <xf numFmtId="0" fontId="27" fillId="5" borderId="23" xfId="0" applyFont="1" applyFill="1" applyBorder="1" applyProtection="1">
      <protection locked="0"/>
    </xf>
    <xf numFmtId="3" fontId="23" fillId="8" borderId="13" xfId="0" applyNumberFormat="1" applyFont="1" applyFill="1" applyBorder="1"/>
    <xf numFmtId="3" fontId="23" fillId="5" borderId="39" xfId="4" applyNumberFormat="1" applyFont="1" applyFill="1" applyBorder="1"/>
    <xf numFmtId="3" fontId="23" fillId="8" borderId="14" xfId="4" applyNumberFormat="1" applyFont="1" applyFill="1" applyBorder="1"/>
    <xf numFmtId="3" fontId="23" fillId="5" borderId="14" xfId="4" applyNumberFormat="1" applyFont="1" applyFill="1" applyBorder="1"/>
    <xf numFmtId="3" fontId="23" fillId="8" borderId="12" xfId="4" applyNumberFormat="1" applyFont="1" applyFill="1" applyBorder="1"/>
    <xf numFmtId="3" fontId="23" fillId="5" borderId="18" xfId="4" applyNumberFormat="1" applyFont="1" applyFill="1" applyBorder="1"/>
    <xf numFmtId="3" fontId="27" fillId="8" borderId="13" xfId="0" applyNumberFormat="1" applyFont="1" applyFill="1" applyBorder="1" applyAlignment="1">
      <alignment horizontal="right" vertical="center"/>
    </xf>
    <xf numFmtId="3" fontId="27" fillId="8" borderId="37" xfId="0" applyNumberFormat="1" applyFont="1" applyFill="1" applyBorder="1" applyAlignment="1">
      <alignment horizontal="right" vertical="center"/>
    </xf>
    <xf numFmtId="3" fontId="23" fillId="8" borderId="13" xfId="0" applyNumberFormat="1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/>
    </xf>
    <xf numFmtId="3" fontId="23" fillId="8" borderId="13" xfId="0" applyNumberFormat="1" applyFont="1" applyFill="1" applyBorder="1" applyAlignment="1">
      <alignment horizontal="right"/>
    </xf>
    <xf numFmtId="3" fontId="23" fillId="8" borderId="37" xfId="0" applyNumberFormat="1" applyFont="1" applyFill="1" applyBorder="1" applyAlignment="1">
      <alignment horizontal="right"/>
    </xf>
    <xf numFmtId="3" fontId="23" fillId="8" borderId="11" xfId="0" applyNumberFormat="1" applyFont="1" applyFill="1" applyBorder="1" applyAlignment="1">
      <alignment horizontal="right"/>
    </xf>
    <xf numFmtId="3" fontId="23" fillId="8" borderId="11" xfId="2" applyNumberFormat="1" applyFont="1" applyFill="1" applyBorder="1" applyProtection="1"/>
    <xf numFmtId="3" fontId="23" fillId="4" borderId="11" xfId="2" applyNumberFormat="1" applyFont="1" applyFill="1" applyBorder="1" applyProtection="1"/>
    <xf numFmtId="3" fontId="23" fillId="8" borderId="12" xfId="0" applyNumberFormat="1" applyFont="1" applyFill="1" applyBorder="1"/>
    <xf numFmtId="3" fontId="27" fillId="8" borderId="12" xfId="0" applyNumberFormat="1" applyFont="1" applyFill="1" applyBorder="1"/>
    <xf numFmtId="3" fontId="27" fillId="5" borderId="12" xfId="0" applyNumberFormat="1" applyFont="1" applyFill="1" applyBorder="1"/>
    <xf numFmtId="3" fontId="23" fillId="5" borderId="11" xfId="2" applyNumberFormat="1" applyFont="1" applyFill="1" applyBorder="1" applyProtection="1"/>
    <xf numFmtId="3" fontId="23" fillId="9" borderId="11" xfId="2" applyNumberFormat="1" applyFont="1" applyFill="1" applyBorder="1" applyProtection="1"/>
    <xf numFmtId="3" fontId="27" fillId="8" borderId="8" xfId="1" applyNumberFormat="1" applyFont="1" applyFill="1" applyBorder="1"/>
    <xf numFmtId="3" fontId="27" fillId="8" borderId="11" xfId="1" applyNumberFormat="1" applyFont="1" applyFill="1" applyBorder="1"/>
    <xf numFmtId="3" fontId="23" fillId="8" borderId="13" xfId="1" applyNumberFormat="1" applyFont="1" applyFill="1" applyBorder="1"/>
    <xf numFmtId="3" fontId="27" fillId="8" borderId="12" xfId="1" applyNumberFormat="1" applyFont="1" applyFill="1" applyBorder="1"/>
    <xf numFmtId="3" fontId="27" fillId="8" borderId="13" xfId="1" applyNumberFormat="1" applyFont="1" applyFill="1" applyBorder="1"/>
    <xf numFmtId="3" fontId="27" fillId="8" borderId="15" xfId="1" applyNumberFormat="1" applyFont="1" applyFill="1" applyBorder="1"/>
    <xf numFmtId="3" fontId="27" fillId="8" borderId="22" xfId="1" applyNumberFormat="1" applyFont="1" applyFill="1" applyBorder="1"/>
    <xf numFmtId="3" fontId="27" fillId="3" borderId="2" xfId="1" applyNumberFormat="1" applyFont="1" applyFill="1" applyBorder="1"/>
    <xf numFmtId="3" fontId="27" fillId="3" borderId="3" xfId="1" applyNumberFormat="1" applyFont="1" applyFill="1" applyBorder="1"/>
    <xf numFmtId="3" fontId="27" fillId="11" borderId="12" xfId="0" applyNumberFormat="1" applyFont="1" applyFill="1" applyBorder="1"/>
    <xf numFmtId="3" fontId="27" fillId="0" borderId="2" xfId="3" applyNumberFormat="1" applyFont="1" applyBorder="1"/>
    <xf numFmtId="3" fontId="27" fillId="0" borderId="3" xfId="3" applyNumberFormat="1" applyFont="1" applyBorder="1"/>
    <xf numFmtId="3" fontId="27" fillId="0" borderId="8" xfId="3" applyNumberFormat="1" applyFont="1" applyBorder="1"/>
    <xf numFmtId="3" fontId="27" fillId="0" borderId="11" xfId="3" applyNumberFormat="1" applyFont="1" applyBorder="1"/>
    <xf numFmtId="3" fontId="27" fillId="0" borderId="12" xfId="3" applyNumberFormat="1" applyFont="1" applyBorder="1"/>
    <xf numFmtId="3" fontId="27" fillId="0" borderId="13" xfId="3" applyNumberFormat="1" applyFont="1" applyBorder="1"/>
    <xf numFmtId="0" fontId="34" fillId="0" borderId="0" xfId="3" applyFont="1" applyAlignment="1" applyProtection="1">
      <alignment horizontal="left"/>
      <protection locked="0"/>
    </xf>
    <xf numFmtId="0" fontId="27" fillId="0" borderId="1" xfId="4" applyFont="1" applyBorder="1" applyAlignment="1" applyProtection="1">
      <alignment horizontal="center" vertical="center"/>
      <protection locked="0"/>
    </xf>
    <xf numFmtId="0" fontId="23" fillId="5" borderId="50" xfId="4" applyFont="1" applyFill="1" applyBorder="1" applyAlignment="1" applyProtection="1">
      <alignment horizontal="left"/>
      <protection locked="0"/>
    </xf>
    <xf numFmtId="0" fontId="23" fillId="0" borderId="7" xfId="4" applyFont="1" applyBorder="1" applyAlignment="1" applyProtection="1">
      <alignment horizontal="center"/>
      <protection locked="0"/>
    </xf>
    <xf numFmtId="0" fontId="23" fillId="8" borderId="7" xfId="4" applyFont="1" applyFill="1" applyBorder="1" applyAlignment="1" applyProtection="1">
      <alignment horizontal="center"/>
      <protection locked="0"/>
    </xf>
    <xf numFmtId="0" fontId="23" fillId="0" borderId="20" xfId="4" applyFont="1" applyBorder="1" applyAlignment="1" applyProtection="1">
      <alignment horizontal="center"/>
      <protection locked="0"/>
    </xf>
    <xf numFmtId="0" fontId="23" fillId="8" borderId="20" xfId="4" applyFont="1" applyFill="1" applyBorder="1" applyAlignment="1" applyProtection="1">
      <alignment horizontal="center"/>
      <protection locked="0"/>
    </xf>
    <xf numFmtId="0" fontId="23" fillId="8" borderId="21" xfId="4" applyFont="1" applyFill="1" applyBorder="1" applyAlignment="1" applyProtection="1">
      <alignment horizontal="center"/>
      <protection locked="0"/>
    </xf>
    <xf numFmtId="0" fontId="23" fillId="8" borderId="36" xfId="4" applyFont="1" applyFill="1" applyBorder="1" applyAlignment="1" applyProtection="1">
      <alignment horizontal="center"/>
      <protection locked="0"/>
    </xf>
    <xf numFmtId="0" fontId="23" fillId="8" borderId="36" xfId="4" applyFont="1" applyFill="1" applyBorder="1" applyProtection="1">
      <protection locked="0"/>
    </xf>
    <xf numFmtId="3" fontId="23" fillId="8" borderId="52" xfId="4" applyNumberFormat="1" applyFont="1" applyFill="1" applyBorder="1" applyProtection="1">
      <protection locked="0"/>
    </xf>
    <xf numFmtId="0" fontId="6" fillId="8" borderId="37" xfId="4" applyFill="1" applyBorder="1" applyProtection="1">
      <protection locked="0"/>
    </xf>
    <xf numFmtId="3" fontId="23" fillId="0" borderId="36" xfId="0" applyNumberFormat="1" applyFont="1" applyBorder="1"/>
    <xf numFmtId="3" fontId="23" fillId="0" borderId="31" xfId="2" applyNumberFormat="1" applyFont="1" applyBorder="1" applyProtection="1"/>
    <xf numFmtId="0" fontId="4" fillId="8" borderId="13" xfId="4" applyFont="1" applyFill="1" applyBorder="1" applyProtection="1">
      <protection locked="0"/>
    </xf>
    <xf numFmtId="0" fontId="3" fillId="8" borderId="13" xfId="4" applyFont="1" applyFill="1" applyBorder="1" applyProtection="1">
      <protection locked="0"/>
    </xf>
    <xf numFmtId="0" fontId="2" fillId="8" borderId="13" xfId="4" applyFont="1" applyFill="1" applyBorder="1" applyProtection="1">
      <protection locked="0"/>
    </xf>
    <xf numFmtId="0" fontId="1" fillId="8" borderId="13" xfId="4" applyFont="1" applyFill="1" applyBorder="1" applyProtection="1">
      <protection locked="0"/>
    </xf>
    <xf numFmtId="0" fontId="25" fillId="0" borderId="0" xfId="0" applyFont="1" applyProtection="1">
      <protection locked="0"/>
    </xf>
    <xf numFmtId="3" fontId="48" fillId="8" borderId="22" xfId="0" applyNumberFormat="1" applyFont="1" applyFill="1" applyBorder="1" applyProtection="1">
      <protection locked="0"/>
    </xf>
    <xf numFmtId="3" fontId="48" fillId="8" borderId="13" xfId="0" applyNumberFormat="1" applyFont="1" applyFill="1" applyBorder="1" applyAlignment="1" applyProtection="1">
      <alignment horizontal="right" vertical="center"/>
      <protection locked="0"/>
    </xf>
    <xf numFmtId="3" fontId="48" fillId="8" borderId="13" xfId="0" applyNumberFormat="1" applyFont="1" applyFill="1" applyBorder="1" applyAlignment="1">
      <alignment horizontal="right" vertical="center"/>
    </xf>
    <xf numFmtId="3" fontId="38" fillId="3" borderId="11" xfId="0" applyNumberFormat="1" applyFont="1" applyFill="1" applyBorder="1" applyAlignment="1">
      <alignment horizontal="right"/>
    </xf>
    <xf numFmtId="3" fontId="48" fillId="0" borderId="13" xfId="0" applyNumberFormat="1" applyFont="1" applyBorder="1" applyAlignment="1">
      <alignment horizontal="right"/>
    </xf>
    <xf numFmtId="0" fontId="46" fillId="0" borderId="0" xfId="0" applyFont="1" applyAlignment="1" applyProtection="1">
      <alignment horizontal="left" vertical="center" shrinkToFit="1"/>
      <protection locked="0"/>
    </xf>
    <xf numFmtId="0" fontId="21" fillId="8" borderId="0" xfId="0" applyFont="1" applyFill="1" applyProtection="1">
      <protection locked="0"/>
    </xf>
    <xf numFmtId="0" fontId="21" fillId="8" borderId="42" xfId="0" applyFont="1" applyFill="1" applyBorder="1" applyProtection="1">
      <protection locked="0"/>
    </xf>
    <xf numFmtId="0" fontId="21" fillId="8" borderId="30" xfId="0" applyFont="1" applyFill="1" applyBorder="1" applyAlignment="1" applyProtection="1">
      <alignment wrapText="1"/>
      <protection locked="0"/>
    </xf>
    <xf numFmtId="0" fontId="21" fillId="8" borderId="10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8" borderId="30" xfId="0" applyFont="1" applyFill="1" applyBorder="1" applyAlignment="1" applyProtection="1">
      <alignment horizontal="center"/>
      <protection locked="0"/>
    </xf>
    <xf numFmtId="0" fontId="21" fillId="8" borderId="35" xfId="0" applyFont="1" applyFill="1" applyBorder="1" applyAlignment="1" applyProtection="1">
      <alignment horizontal="left" vertical="center"/>
      <protection locked="0"/>
    </xf>
    <xf numFmtId="0" fontId="21" fillId="8" borderId="25" xfId="0" applyFont="1" applyFill="1" applyBorder="1" applyAlignment="1" applyProtection="1">
      <alignment horizontal="left" vertical="center"/>
      <protection locked="0"/>
    </xf>
    <xf numFmtId="0" fontId="46" fillId="4" borderId="32" xfId="0" applyFont="1" applyFill="1" applyBorder="1" applyAlignment="1" applyProtection="1">
      <alignment horizontal="center" vertical="center"/>
      <protection locked="0"/>
    </xf>
    <xf numFmtId="0" fontId="47" fillId="4" borderId="24" xfId="0" applyFont="1" applyFill="1" applyBorder="1" applyAlignment="1" applyProtection="1">
      <alignment horizontal="center" vertical="center"/>
      <protection locked="0"/>
    </xf>
    <xf numFmtId="0" fontId="47" fillId="4" borderId="38" xfId="0" applyFont="1" applyFill="1" applyBorder="1" applyAlignment="1" applyProtection="1">
      <alignment horizontal="center" vertical="center"/>
      <protection locked="0"/>
    </xf>
    <xf numFmtId="0" fontId="18" fillId="8" borderId="3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37" fillId="8" borderId="0" xfId="0" applyNumberFormat="1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8" borderId="0" xfId="0" applyFont="1" applyFill="1" applyAlignment="1" applyProtection="1">
      <alignment horizontal="center"/>
      <protection locked="0"/>
    </xf>
    <xf numFmtId="0" fontId="23" fillId="5" borderId="14" xfId="0" applyFont="1" applyFill="1" applyBorder="1" applyAlignment="1" applyProtection="1">
      <alignment horizontal="left"/>
      <protection locked="0"/>
    </xf>
    <xf numFmtId="0" fontId="23" fillId="5" borderId="16" xfId="0" applyFont="1" applyFill="1" applyBorder="1" applyAlignment="1" applyProtection="1">
      <alignment horizontal="left"/>
      <protection locked="0"/>
    </xf>
    <xf numFmtId="0" fontId="27" fillId="5" borderId="24" xfId="0" applyFont="1" applyFill="1" applyBorder="1" applyAlignment="1" applyProtection="1">
      <alignment horizontal="center"/>
      <protection locked="0"/>
    </xf>
    <xf numFmtId="0" fontId="27" fillId="5" borderId="26" xfId="0" applyFont="1" applyFill="1" applyBorder="1" applyAlignment="1" applyProtection="1">
      <alignment horizontal="center"/>
      <protection locked="0"/>
    </xf>
    <xf numFmtId="0" fontId="25" fillId="8" borderId="48" xfId="0" applyFont="1" applyFill="1" applyBorder="1" applyAlignment="1" applyProtection="1">
      <alignment horizontal="center"/>
      <protection locked="0"/>
    </xf>
    <xf numFmtId="0" fontId="23" fillId="5" borderId="9" xfId="0" applyFont="1" applyFill="1" applyBorder="1" applyAlignment="1" applyProtection="1">
      <alignment horizontal="left"/>
      <protection locked="0"/>
    </xf>
    <xf numFmtId="0" fontId="23" fillId="5" borderId="10" xfId="0" applyFont="1" applyFill="1" applyBorder="1" applyAlignment="1" applyProtection="1">
      <alignment horizontal="left"/>
      <protection locked="0"/>
    </xf>
    <xf numFmtId="0" fontId="23" fillId="5" borderId="51" xfId="4" applyFont="1" applyFill="1" applyBorder="1" applyAlignment="1" applyProtection="1">
      <alignment horizontal="left"/>
      <protection locked="0"/>
    </xf>
    <xf numFmtId="0" fontId="23" fillId="5" borderId="18" xfId="4" applyFont="1" applyFill="1" applyBorder="1" applyAlignment="1" applyProtection="1">
      <alignment horizontal="left"/>
      <protection locked="0"/>
    </xf>
    <xf numFmtId="0" fontId="23" fillId="5" borderId="16" xfId="4" applyFont="1" applyFill="1" applyBorder="1" applyAlignment="1" applyProtection="1">
      <alignment horizontal="left"/>
      <protection locked="0"/>
    </xf>
    <xf numFmtId="0" fontId="37" fillId="5" borderId="32" xfId="0" applyFont="1" applyFill="1" applyBorder="1" applyAlignment="1">
      <alignment horizontal="center"/>
    </xf>
    <xf numFmtId="0" fontId="37" fillId="5" borderId="24" xfId="0" applyFont="1" applyFill="1" applyBorder="1" applyAlignment="1">
      <alignment horizontal="center"/>
    </xf>
    <xf numFmtId="0" fontId="37" fillId="5" borderId="38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3" fillId="5" borderId="14" xfId="0" applyFont="1" applyFill="1" applyBorder="1" applyAlignment="1">
      <alignment horizontal="left"/>
    </xf>
    <xf numFmtId="0" fontId="23" fillId="5" borderId="16" xfId="0" applyFont="1" applyFill="1" applyBorder="1" applyAlignment="1">
      <alignment horizontal="left"/>
    </xf>
    <xf numFmtId="0" fontId="27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7" fillId="5" borderId="23" xfId="0" applyFont="1" applyFill="1" applyBorder="1" applyAlignment="1">
      <alignment horizontal="center"/>
    </xf>
    <xf numFmtId="0" fontId="27" fillId="5" borderId="24" xfId="0" applyFont="1" applyFill="1" applyBorder="1" applyAlignment="1">
      <alignment horizontal="center"/>
    </xf>
    <xf numFmtId="0" fontId="27" fillId="5" borderId="26" xfId="0" applyFont="1" applyFill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0" fontId="26" fillId="0" borderId="48" xfId="0" applyFont="1" applyBorder="1" applyAlignment="1" applyProtection="1">
      <alignment horizontal="center"/>
      <protection locked="0"/>
    </xf>
    <xf numFmtId="0" fontId="13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15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15" xfId="0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7" borderId="12" xfId="0" applyFill="1" applyBorder="1"/>
    <xf numFmtId="0" fontId="39" fillId="0" borderId="12" xfId="0" applyFont="1" applyBorder="1"/>
    <xf numFmtId="0" fontId="0" fillId="0" borderId="12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13" fillId="0" borderId="15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/>
    </xf>
    <xf numFmtId="0" fontId="21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/>
      <protection locked="0"/>
    </xf>
    <xf numFmtId="0" fontId="34" fillId="0" borderId="49" xfId="3" applyFont="1" applyBorder="1" applyAlignment="1">
      <alignment horizontal="center"/>
    </xf>
    <xf numFmtId="0" fontId="34" fillId="0" borderId="49" xfId="3" applyFont="1" applyBorder="1" applyAlignment="1" applyProtection="1">
      <alignment horizontal="left"/>
      <protection locked="0"/>
    </xf>
    <xf numFmtId="0" fontId="34" fillId="0" borderId="0" xfId="3" applyFont="1" applyAlignment="1" applyProtection="1">
      <alignment horizontal="left"/>
      <protection locked="0"/>
    </xf>
    <xf numFmtId="0" fontId="27" fillId="10" borderId="32" xfId="1" applyFont="1" applyFill="1" applyBorder="1" applyAlignment="1" applyProtection="1">
      <alignment horizontal="center"/>
      <protection locked="0"/>
    </xf>
    <xf numFmtId="0" fontId="0" fillId="10" borderId="24" xfId="0" applyFill="1" applyBorder="1" applyProtection="1">
      <protection locked="0"/>
    </xf>
    <xf numFmtId="0" fontId="0" fillId="10" borderId="38" xfId="0" applyFill="1" applyBorder="1" applyProtection="1">
      <protection locked="0"/>
    </xf>
    <xf numFmtId="0" fontId="27" fillId="6" borderId="32" xfId="1" applyFont="1" applyFill="1" applyBorder="1" applyAlignment="1" applyProtection="1">
      <alignment horizontal="center"/>
      <protection locked="0"/>
    </xf>
    <xf numFmtId="0" fontId="8" fillId="6" borderId="24" xfId="0" applyFont="1" applyFill="1" applyBorder="1" applyProtection="1">
      <protection locked="0"/>
    </xf>
    <xf numFmtId="0" fontId="8" fillId="6" borderId="38" xfId="0" applyFont="1" applyFill="1" applyBorder="1" applyProtection="1">
      <protection locked="0"/>
    </xf>
    <xf numFmtId="0" fontId="19" fillId="0" borderId="48" xfId="0" applyFont="1" applyBorder="1" applyAlignment="1" applyProtection="1">
      <alignment horizontal="center"/>
      <protection locked="0"/>
    </xf>
    <xf numFmtId="0" fontId="23" fillId="5" borderId="12" xfId="0" applyFont="1" applyFill="1" applyBorder="1" applyAlignment="1" applyProtection="1">
      <alignment horizontal="left"/>
      <protection locked="0"/>
    </xf>
    <xf numFmtId="0" fontId="27" fillId="5" borderId="23" xfId="0" applyFont="1" applyFill="1" applyBorder="1" applyAlignment="1" applyProtection="1">
      <alignment horizontal="center"/>
      <protection locked="0"/>
    </xf>
    <xf numFmtId="0" fontId="23" fillId="5" borderId="8" xfId="0" applyFont="1" applyFill="1" applyBorder="1" applyAlignment="1" applyProtection="1">
      <alignment horizontal="left"/>
      <protection locked="0"/>
    </xf>
    <xf numFmtId="0" fontId="23" fillId="5" borderId="18" xfId="0" applyFont="1" applyFill="1" applyBorder="1" applyAlignment="1" applyProtection="1">
      <alignment horizontal="left"/>
      <protection locked="0"/>
    </xf>
  </cellXfs>
  <cellStyles count="5">
    <cellStyle name="Normální" xfId="0" builtinId="0"/>
    <cellStyle name="Normální 2" xfId="3" xr:uid="{00000000-0005-0000-0000-000001000000}"/>
    <cellStyle name="Normální 3" xfId="4" xr:uid="{C96E4E7B-00CE-4EF9-ABB2-00FEAC4F205E}"/>
    <cellStyle name="normální_3. Odpisový plán - příloha" xfId="1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cová Zuzana" id="{79E744F3-95C2-4EDA-8B5F-53AF508C38F2}" userId="S::zuzana.mocova@kraj-lbc.cz::def969c7-6761-4647-9b05-e7cdca17ef6a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7" dT="2025-02-27T08:16:19.15" personId="{79E744F3-95C2-4EDA-8B5F-53AF508C38F2}" id="{7CC66F93-0337-4204-B538-0A7E26A76790}">
    <text>údaj z listu „P1a“</text>
  </threadedComment>
  <threadedComment ref="G8" dT="2025-02-27T08:16:38.86" personId="{79E744F3-95C2-4EDA-8B5F-53AF508C38F2}" id="{69DA8E76-DF35-45CF-8C42-18D75181DCDE}">
    <text>údaj z listu „P1a“</text>
  </threadedComment>
  <threadedComment ref="G12" dT="2025-02-27T08:21:03.74" personId="{79E744F3-95C2-4EDA-8B5F-53AF508C38F2}" id="{D14C4D8E-CA36-4E15-8596-86ACDB5C6E11}">
    <text>údaj z listu „P1a“</text>
  </threadedComment>
  <threadedComment ref="G15" dT="2025-02-27T08:17:12.55" personId="{79E744F3-95C2-4EDA-8B5F-53AF508C38F2}" id="{4057536E-28C1-418F-A675-E4FF45F445DA}">
    <text>údaj z listu „P1a“</text>
  </threadedComment>
  <threadedComment ref="G17" dT="2025-02-27T08:19:21.75" personId="{79E744F3-95C2-4EDA-8B5F-53AF508C38F2}" id="{639F50D0-52F7-4FC5-9CE5-EBAED338E9F9}">
    <text>údaj z listu „P3a“</text>
  </threadedComment>
  <threadedComment ref="G25" dT="2025-02-27T08:17:39.81" personId="{79E744F3-95C2-4EDA-8B5F-53AF508C38F2}" id="{466C1BDD-2ECE-4006-BF4F-BCEEA3380570}">
    <text>údaj z listu „P1a“</text>
  </threadedComment>
  <threadedComment ref="G33" dT="2025-02-27T08:18:02.22" personId="{79E744F3-95C2-4EDA-8B5F-53AF508C38F2}" id="{7C6894A6-38F1-4437-82F1-720F8899C7E8}">
    <text>údaj z listu „P1a“</text>
  </threadedComment>
  <threadedComment ref="G35" dT="2025-02-27T08:23:39.06" personId="{79E744F3-95C2-4EDA-8B5F-53AF508C38F2}" id="{AD35B567-BE95-48B2-8B42-070858883453}">
    <text>údaj z listu „P5“</text>
  </threadedComment>
  <threadedComment ref="G42" dT="2025-02-27T08:15:29.69" personId="{79E744F3-95C2-4EDA-8B5F-53AF508C38F2}" id="{ED014315-F37C-4C03-89B3-2393A54A8EE2}">
    <text>údaj z listu „P1a“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0" dT="2025-02-27T08:40:19.37" personId="{79E744F3-95C2-4EDA-8B5F-53AF508C38F2}" id="{B6D771E5-68C6-4D9A-986E-62FAEE0D3DEA}">
    <text>údaj z listu „P2“</text>
  </threadedComment>
  <threadedComment ref="C21" dT="2025-02-27T08:36:54.20" personId="{79E744F3-95C2-4EDA-8B5F-53AF508C38F2}" id="{3D73038B-ACFC-4D2E-AEDB-F5D62B8366EE}">
    <text>údaj z listu „P5“</text>
  </threadedComment>
  <threadedComment ref="C22" dT="2025-02-27T08:37:30.38" personId="{79E744F3-95C2-4EDA-8B5F-53AF508C38F2}" id="{1C1B0F93-1FEF-42E8-82F2-E21D25724317}">
    <text>údaj z listu „P4“</text>
  </threadedComment>
  <threadedComment ref="C28" dT="2025-02-27T08:38:20.57" personId="{79E744F3-95C2-4EDA-8B5F-53AF508C38F2}" id="{A3A0344E-93A9-4C62-9725-6AD4E66B8A8E}">
    <text>údaj z listu „P4“</text>
  </threadedComment>
  <threadedComment ref="C29" dT="2025-02-27T08:38:27.33" personId="{79E744F3-95C2-4EDA-8B5F-53AF508C38F2}" id="{755E4F1C-1BBF-43A0-B95C-2274B4182680}">
    <text>údaj z listu „P4“</text>
  </threadedComment>
  <threadedComment ref="C30" dT="2025-02-27T08:38:38.25" personId="{79E744F3-95C2-4EDA-8B5F-53AF508C38F2}" id="{F3EA03AA-FE4A-4D05-9207-9BF32F8F6CA0}">
    <text>údaj z listu „P5“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5" dT="2025-02-27T08:41:46.47" personId="{79E744F3-95C2-4EDA-8B5F-53AF508C38F2}" id="{DE5556EA-0BC5-4B4A-AE3E-B2512EB1C184}">
    <text>údaj z listu „P1“</text>
  </threadedComment>
  <threadedComment ref="C6" dT="2025-02-27T08:42:01.68" personId="{79E744F3-95C2-4EDA-8B5F-53AF508C38F2}" id="{5B238453-E381-49A7-9CDC-0F0F53B412E0}">
    <text>údaj z listu „P5“</text>
  </threadedComment>
  <threadedComment ref="C7" dT="2025-02-27T08:42:14.05" personId="{79E744F3-95C2-4EDA-8B5F-53AF508C38F2}" id="{2A7FB63B-EEE1-41A3-B3C2-50C0D53AAAE0}">
    <text>údaj z listu „P4“</text>
  </threadedComment>
  <threadedComment ref="C8" dT="2025-02-27T08:42:56.49" personId="{79E744F3-95C2-4EDA-8B5F-53AF508C38F2}" id="{9B705060-204B-4439-9EB7-7A633379701A}">
    <text>údaj z listu „P1“</text>
  </threadedComment>
  <threadedComment ref="C9" dT="2025-02-27T08:43:06.05" personId="{79E744F3-95C2-4EDA-8B5F-53AF508C38F2}" id="{52264DCC-BA67-40A3-B6D5-89080E6424C7}">
    <text>údaj z listu „P2“</text>
  </threadedComment>
  <threadedComment ref="C10" dT="2025-02-27T08:43:13.34" personId="{79E744F3-95C2-4EDA-8B5F-53AF508C38F2}" id="{D02EF2E1-B8E1-4009-A0AA-6DEFFE5185A4}">
    <text>údaj z listu „P4“</text>
  </threadedComment>
  <threadedComment ref="C11" dT="2025-02-27T08:43:23.69" personId="{79E744F3-95C2-4EDA-8B5F-53AF508C38F2}" id="{55CC4B1E-D91A-47AB-A376-B6D42852C0A5}">
    <text>údaj z listu „P2“</text>
  </threadedComment>
  <threadedComment ref="C13" dT="2025-02-27T08:43:44.07" personId="{79E744F3-95C2-4EDA-8B5F-53AF508C38F2}" id="{845E2886-589A-4ED6-8EC6-DBE41E3FCC0F}">
    <text>údaj z listu „P3a“</text>
  </threadedComment>
  <threadedComment ref="C18" dT="2025-02-27T11:58:25.94" personId="{79E744F3-95C2-4EDA-8B5F-53AF508C38F2}" id="{2E08A937-3C26-4D16-B9F3-576639BEE7D9}">
    <text>údaj z listu „P1“</text>
  </threadedComment>
  <threadedComment ref="C19" dT="2025-02-27T08:44:12.69" personId="{79E744F3-95C2-4EDA-8B5F-53AF508C38F2}" id="{6E5AE60A-CE28-49E9-A9EB-26FE35CF318A}">
    <text>údaj z listu „P1“</text>
  </threadedComment>
  <threadedComment ref="C20" dT="2025-02-27T08:44:24.04" personId="{79E744F3-95C2-4EDA-8B5F-53AF508C38F2}" id="{B3CFFF51-6A5A-43CC-96D6-677777FE5C31}">
    <text>údaj z listu „P1“</text>
  </threadedComment>
  <threadedComment ref="C22" dT="2025-02-27T08:44:34.24" personId="{79E744F3-95C2-4EDA-8B5F-53AF508C38F2}" id="{187A9DC6-E097-4EA4-8E90-5EEBAD31B386}">
    <text>údaj z listu „P1“</text>
  </threadedComment>
  <threadedComment ref="C23" dT="2025-02-27T08:44:44.78" personId="{79E744F3-95C2-4EDA-8B5F-53AF508C38F2}" id="{D0DEA64D-1D65-4A2C-B0CF-6D7350979C0C}">
    <text>údaj z listu „P1“</text>
  </threadedComment>
  <threadedComment ref="C27" dT="2025-02-27T08:45:00.66" personId="{79E744F3-95C2-4EDA-8B5F-53AF508C38F2}" id="{9BEBE121-2F38-43DE-8FFF-0A5B4F2AB608}">
    <text>údaj z listu „P2“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showWhiteSpace="0" topLeftCell="A17" zoomScaleNormal="100" workbookViewId="0">
      <selection activeCell="B29" sqref="B29:C29"/>
    </sheetView>
  </sheetViews>
  <sheetFormatPr defaultRowHeight="12.75" x14ac:dyDescent="0.2"/>
  <cols>
    <col min="1" max="1" width="27.42578125" customWidth="1"/>
    <col min="2" max="2" width="20.42578125" bestFit="1" customWidth="1"/>
    <col min="4" max="4" width="3.42578125" customWidth="1"/>
  </cols>
  <sheetData>
    <row r="1" spans="1:7" s="128" customFormat="1" ht="28.5" customHeight="1" x14ac:dyDescent="0.2">
      <c r="A1" s="448" t="s">
        <v>0</v>
      </c>
      <c r="B1" s="448"/>
      <c r="C1" s="448"/>
      <c r="D1" s="448"/>
      <c r="E1" s="448"/>
      <c r="F1" s="448"/>
      <c r="G1" s="448"/>
    </row>
    <row r="2" spans="1:7" ht="20.25" customHeight="1" x14ac:dyDescent="0.2">
      <c r="A2" s="453" t="s">
        <v>1</v>
      </c>
      <c r="B2" s="453"/>
      <c r="C2" s="453"/>
      <c r="D2" s="453"/>
      <c r="E2" s="453"/>
      <c r="F2" s="453"/>
      <c r="G2" s="453"/>
    </row>
    <row r="3" spans="1:7" ht="14.1" customHeight="1" x14ac:dyDescent="0.25">
      <c r="A3" s="236"/>
      <c r="B3" s="237"/>
      <c r="C3" s="237"/>
      <c r="D3" s="237"/>
      <c r="E3" s="237"/>
      <c r="F3" s="237"/>
      <c r="G3" s="237"/>
    </row>
    <row r="4" spans="1:7" ht="14.1" customHeight="1" x14ac:dyDescent="0.25">
      <c r="A4" s="236"/>
      <c r="B4" s="237"/>
      <c r="C4" s="237"/>
      <c r="D4" s="237"/>
      <c r="E4" s="237"/>
      <c r="F4" s="237"/>
      <c r="G4" s="237"/>
    </row>
    <row r="5" spans="1:7" ht="14.1" customHeight="1" x14ac:dyDescent="0.2">
      <c r="A5" s="237"/>
      <c r="B5" s="237"/>
      <c r="C5" s="237"/>
      <c r="D5" s="237"/>
      <c r="E5" s="237"/>
      <c r="F5" s="237"/>
      <c r="G5" s="237"/>
    </row>
    <row r="6" spans="1:7" ht="16.5" customHeight="1" x14ac:dyDescent="0.25">
      <c r="A6" s="238" t="s">
        <v>387</v>
      </c>
      <c r="B6" s="455">
        <v>1519</v>
      </c>
      <c r="C6" s="455"/>
      <c r="D6" s="455"/>
      <c r="E6" s="455"/>
      <c r="F6" s="455"/>
      <c r="G6" s="456"/>
    </row>
    <row r="7" spans="1:7" ht="16.5" customHeight="1" x14ac:dyDescent="0.3">
      <c r="A7" s="239" t="s">
        <v>105</v>
      </c>
      <c r="B7" s="449" t="s">
        <v>441</v>
      </c>
      <c r="C7" s="449"/>
      <c r="D7" s="449"/>
      <c r="E7" s="449"/>
      <c r="F7" s="449"/>
      <c r="G7" s="450"/>
    </row>
    <row r="8" spans="1:7" ht="16.5" customHeight="1" x14ac:dyDescent="0.3">
      <c r="A8" s="239"/>
      <c r="B8" s="449"/>
      <c r="C8" s="449"/>
      <c r="D8" s="449"/>
      <c r="E8" s="449"/>
      <c r="F8" s="449"/>
      <c r="G8" s="450"/>
    </row>
    <row r="9" spans="1:7" ht="16.5" customHeight="1" x14ac:dyDescent="0.3">
      <c r="A9" s="240" t="s">
        <v>401</v>
      </c>
      <c r="B9" s="451" t="s">
        <v>442</v>
      </c>
      <c r="C9" s="451"/>
      <c r="D9" s="451"/>
      <c r="E9" s="451"/>
      <c r="F9" s="451"/>
      <c r="G9" s="452"/>
    </row>
    <row r="10" spans="1:7" ht="14.1" customHeight="1" x14ac:dyDescent="0.25">
      <c r="A10" s="241"/>
      <c r="B10" s="241"/>
      <c r="C10" s="241"/>
      <c r="D10" s="241"/>
      <c r="E10" s="237"/>
      <c r="F10" s="237"/>
      <c r="G10" s="237"/>
    </row>
    <row r="11" spans="1:7" ht="14.1" customHeight="1" x14ac:dyDescent="0.25">
      <c r="A11" s="241"/>
      <c r="B11" s="241"/>
      <c r="C11" s="241"/>
      <c r="D11" s="241"/>
      <c r="E11" s="237"/>
      <c r="F11" s="237"/>
      <c r="G11" s="237"/>
    </row>
    <row r="12" spans="1:7" ht="14.1" customHeight="1" x14ac:dyDescent="0.25">
      <c r="A12" s="241"/>
      <c r="B12" s="241"/>
      <c r="C12" s="241"/>
      <c r="D12" s="241"/>
      <c r="E12" s="237"/>
      <c r="F12" s="237"/>
      <c r="G12" s="237"/>
    </row>
    <row r="13" spans="1:7" ht="14.1" customHeight="1" x14ac:dyDescent="0.25">
      <c r="A13" s="241"/>
      <c r="B13" s="241"/>
      <c r="C13" s="241"/>
      <c r="D13" s="241"/>
      <c r="E13" s="237"/>
      <c r="F13" s="237"/>
      <c r="G13" s="237"/>
    </row>
    <row r="14" spans="1:7" ht="14.1" customHeight="1" x14ac:dyDescent="0.25">
      <c r="A14" s="241"/>
      <c r="B14" s="241"/>
      <c r="C14" s="241"/>
      <c r="D14" s="241"/>
      <c r="E14" s="237"/>
      <c r="F14" s="237"/>
      <c r="G14" s="237"/>
    </row>
    <row r="15" spans="1:7" ht="14.1" customHeight="1" x14ac:dyDescent="0.2">
      <c r="A15" s="237"/>
      <c r="B15" s="237"/>
      <c r="C15" s="237"/>
      <c r="D15" s="237"/>
      <c r="E15" s="237"/>
      <c r="F15" s="237"/>
      <c r="G15" s="237"/>
    </row>
    <row r="16" spans="1:7" ht="14.1" customHeight="1" thickBot="1" x14ac:dyDescent="0.25">
      <c r="A16" s="237"/>
      <c r="B16" s="237"/>
      <c r="C16" s="237"/>
      <c r="D16" s="237"/>
      <c r="E16" s="237"/>
      <c r="F16" s="237"/>
      <c r="G16" s="237"/>
    </row>
    <row r="17" spans="1:7" s="129" customFormat="1" ht="29.25" customHeight="1" thickBot="1" x14ac:dyDescent="0.3">
      <c r="A17" s="457" t="s">
        <v>291</v>
      </c>
      <c r="B17" s="458"/>
      <c r="C17" s="458"/>
      <c r="D17" s="458"/>
      <c r="E17" s="458"/>
      <c r="F17" s="458"/>
      <c r="G17" s="459"/>
    </row>
    <row r="18" spans="1:7" s="129" customFormat="1" ht="14.1" customHeight="1" x14ac:dyDescent="0.3">
      <c r="A18" s="242"/>
      <c r="B18" s="242"/>
      <c r="C18" s="242"/>
      <c r="D18" s="242"/>
      <c r="E18" s="242"/>
      <c r="F18" s="242"/>
      <c r="G18" s="242"/>
    </row>
    <row r="19" spans="1:7" ht="14.1" customHeight="1" x14ac:dyDescent="0.2">
      <c r="A19" s="237"/>
      <c r="B19" s="237"/>
      <c r="C19" s="237"/>
      <c r="D19" s="237"/>
      <c r="E19" s="237"/>
      <c r="F19" s="237"/>
      <c r="G19" s="237"/>
    </row>
    <row r="20" spans="1:7" ht="14.1" customHeight="1" x14ac:dyDescent="0.2">
      <c r="A20" s="237"/>
      <c r="B20" s="237"/>
      <c r="C20" s="237"/>
      <c r="D20" s="237"/>
      <c r="E20" s="237"/>
      <c r="F20" s="237"/>
      <c r="G20" s="237"/>
    </row>
    <row r="21" spans="1:7" ht="14.1" customHeight="1" x14ac:dyDescent="0.2">
      <c r="A21" s="237"/>
      <c r="B21" s="237"/>
      <c r="C21" s="237"/>
      <c r="D21" s="237"/>
      <c r="E21" s="237"/>
      <c r="F21" s="237"/>
      <c r="G21" s="237"/>
    </row>
    <row r="22" spans="1:7" ht="14.1" customHeight="1" x14ac:dyDescent="0.2">
      <c r="A22" s="237"/>
      <c r="B22" s="237"/>
      <c r="C22" s="237"/>
      <c r="D22" s="237"/>
      <c r="E22" s="237"/>
      <c r="F22" s="237"/>
      <c r="G22" s="237"/>
    </row>
    <row r="23" spans="1:7" ht="14.1" customHeight="1" x14ac:dyDescent="0.2">
      <c r="A23" s="237"/>
      <c r="B23" s="237"/>
      <c r="C23" s="237"/>
      <c r="D23" s="237"/>
      <c r="E23" s="237"/>
      <c r="F23" s="237"/>
      <c r="G23" s="237"/>
    </row>
    <row r="24" spans="1:7" ht="14.1" customHeight="1" x14ac:dyDescent="0.25">
      <c r="A24" s="241"/>
      <c r="B24" s="241"/>
      <c r="C24" s="241"/>
      <c r="D24" s="241"/>
      <c r="E24" s="241"/>
      <c r="F24" s="241"/>
      <c r="G24" s="241"/>
    </row>
    <row r="25" spans="1:7" ht="14.1" customHeight="1" x14ac:dyDescent="0.25">
      <c r="A25" s="442" t="s">
        <v>501</v>
      </c>
      <c r="B25" s="462" t="s">
        <v>502</v>
      </c>
      <c r="C25" s="462"/>
      <c r="D25" s="235"/>
      <c r="E25" s="235"/>
      <c r="F25" s="235"/>
      <c r="G25" s="235"/>
    </row>
    <row r="26" spans="1:7" ht="14.1" customHeight="1" x14ac:dyDescent="0.25">
      <c r="A26" s="241"/>
      <c r="B26" s="235"/>
      <c r="C26" s="235"/>
      <c r="D26" s="235"/>
      <c r="E26" s="235"/>
      <c r="F26" s="235"/>
      <c r="G26" s="235"/>
    </row>
    <row r="27" spans="1:7" ht="14.1" customHeight="1" x14ac:dyDescent="0.25">
      <c r="A27" s="241"/>
      <c r="B27" s="235"/>
      <c r="C27" s="235"/>
      <c r="D27" s="235"/>
      <c r="E27" s="235"/>
      <c r="F27" s="235"/>
      <c r="G27" s="235"/>
    </row>
    <row r="28" spans="1:7" ht="16.5" customHeight="1" x14ac:dyDescent="0.25">
      <c r="A28" s="241" t="s">
        <v>2</v>
      </c>
      <c r="B28" s="243"/>
      <c r="C28" s="235"/>
      <c r="D28" s="235"/>
      <c r="E28" s="235"/>
      <c r="F28" s="461"/>
      <c r="G28" s="461"/>
    </row>
    <row r="29" spans="1:7" ht="14.1" customHeight="1" x14ac:dyDescent="0.25">
      <c r="A29" s="241" t="s">
        <v>388</v>
      </c>
      <c r="B29" s="454" t="s">
        <v>503</v>
      </c>
      <c r="C29" s="454"/>
      <c r="D29" s="235"/>
      <c r="E29" s="235" t="s">
        <v>131</v>
      </c>
      <c r="F29" s="460"/>
      <c r="G29" s="460"/>
    </row>
    <row r="30" spans="1:7" ht="14.1" customHeight="1" x14ac:dyDescent="0.25">
      <c r="A30" s="241"/>
      <c r="B30" s="235"/>
      <c r="C30" s="235"/>
      <c r="D30" s="235"/>
      <c r="E30" s="235"/>
      <c r="F30" s="235"/>
      <c r="G30" s="235"/>
    </row>
    <row r="31" spans="1:7" ht="14.1" customHeight="1" x14ac:dyDescent="0.25">
      <c r="A31" s="241"/>
      <c r="B31" s="235"/>
      <c r="C31" s="235"/>
      <c r="D31" s="235"/>
      <c r="E31" s="235"/>
      <c r="F31" s="235"/>
      <c r="G31" s="235"/>
    </row>
    <row r="32" spans="1:7" ht="14.1" customHeight="1" x14ac:dyDescent="0.25">
      <c r="A32" s="241"/>
      <c r="B32" s="235"/>
      <c r="C32" s="235"/>
      <c r="D32" s="235"/>
      <c r="E32" s="235"/>
      <c r="F32" s="235"/>
      <c r="G32" s="235"/>
    </row>
    <row r="33" spans="1:7" ht="16.5" customHeight="1" x14ac:dyDescent="0.25">
      <c r="A33" s="241" t="s">
        <v>3</v>
      </c>
      <c r="B33" s="243"/>
      <c r="C33" s="235"/>
      <c r="D33" s="235"/>
      <c r="E33" s="235"/>
      <c r="F33" s="235"/>
      <c r="G33" s="235"/>
    </row>
    <row r="34" spans="1:7" ht="14.1" customHeight="1" x14ac:dyDescent="0.25">
      <c r="A34" s="241" t="s">
        <v>4</v>
      </c>
      <c r="B34" s="454" t="s">
        <v>443</v>
      </c>
      <c r="C34" s="454"/>
      <c r="D34" s="235"/>
      <c r="E34" s="235" t="s">
        <v>131</v>
      </c>
      <c r="F34" s="460"/>
      <c r="G34" s="460"/>
    </row>
    <row r="35" spans="1:7" ht="14.1" customHeight="1" x14ac:dyDescent="0.25">
      <c r="A35" s="241"/>
      <c r="B35" s="235"/>
      <c r="C35" s="235"/>
      <c r="D35" s="235"/>
      <c r="E35" s="235"/>
      <c r="F35" s="235"/>
      <c r="G35" s="235"/>
    </row>
    <row r="36" spans="1:7" ht="14.1" customHeight="1" x14ac:dyDescent="0.25">
      <c r="A36" s="241"/>
      <c r="B36" s="235"/>
      <c r="C36" s="235"/>
      <c r="D36" s="235"/>
      <c r="E36" s="235"/>
      <c r="F36" s="235"/>
      <c r="G36" s="235"/>
    </row>
    <row r="37" spans="1:7" ht="16.5" customHeight="1" x14ac:dyDescent="0.25">
      <c r="A37" s="241"/>
      <c r="B37" s="235"/>
      <c r="C37" s="235"/>
      <c r="D37" s="235"/>
      <c r="E37" s="235"/>
      <c r="F37" s="235"/>
      <c r="G37" s="235"/>
    </row>
    <row r="38" spans="1:7" ht="16.5" customHeight="1" x14ac:dyDescent="0.25">
      <c r="A38" s="241" t="s">
        <v>3</v>
      </c>
      <c r="B38" s="243"/>
      <c r="C38" s="235"/>
      <c r="D38" s="235"/>
      <c r="E38" s="235"/>
      <c r="F38" s="235"/>
      <c r="G38" s="235"/>
    </row>
    <row r="39" spans="1:7" ht="14.1" customHeight="1" x14ac:dyDescent="0.25">
      <c r="A39" s="241" t="s">
        <v>133</v>
      </c>
      <c r="B39" s="454" t="s">
        <v>132</v>
      </c>
      <c r="C39" s="454"/>
      <c r="D39" s="235"/>
      <c r="E39" s="235" t="s">
        <v>131</v>
      </c>
      <c r="F39" s="460"/>
      <c r="G39" s="460"/>
    </row>
    <row r="40" spans="1:7" ht="14.1" customHeight="1" x14ac:dyDescent="0.25">
      <c r="A40" s="241"/>
      <c r="B40" s="241"/>
      <c r="C40" s="241"/>
      <c r="D40" s="241"/>
      <c r="E40" s="241"/>
      <c r="F40" s="241"/>
      <c r="G40" s="241"/>
    </row>
    <row r="41" spans="1:7" ht="14.1" customHeight="1" x14ac:dyDescent="0.25">
      <c r="A41" s="241"/>
      <c r="B41" s="241"/>
      <c r="C41" s="241"/>
      <c r="D41" s="241"/>
      <c r="E41" s="241"/>
      <c r="F41" s="241"/>
      <c r="G41" s="241"/>
    </row>
    <row r="42" spans="1:7" ht="14.1" customHeight="1" x14ac:dyDescent="0.25">
      <c r="A42" s="241"/>
      <c r="B42" s="241"/>
      <c r="C42" s="241"/>
      <c r="D42" s="241"/>
      <c r="E42" s="241"/>
      <c r="F42" s="241"/>
      <c r="G42" s="241"/>
    </row>
    <row r="43" spans="1:7" ht="14.1" customHeight="1" x14ac:dyDescent="0.2">
      <c r="A43" s="3"/>
      <c r="B43" s="3"/>
      <c r="C43" s="237"/>
      <c r="D43" s="237"/>
      <c r="E43" s="237"/>
      <c r="F43" s="237"/>
      <c r="G43" s="237"/>
    </row>
    <row r="44" spans="1:7" ht="14.1" customHeight="1" x14ac:dyDescent="0.2">
      <c r="A44" s="3"/>
      <c r="B44" s="3"/>
      <c r="C44" s="237"/>
      <c r="D44" s="237"/>
      <c r="E44" s="237"/>
      <c r="F44" s="237"/>
      <c r="G44" s="237"/>
    </row>
    <row r="45" spans="1:7" ht="14.1" customHeight="1" x14ac:dyDescent="0.2">
      <c r="A45" s="244" t="s">
        <v>5</v>
      </c>
      <c r="B45" s="237"/>
      <c r="C45" s="237"/>
      <c r="D45" s="237"/>
      <c r="E45" s="237"/>
      <c r="F45" s="237"/>
      <c r="G45" s="237"/>
    </row>
    <row r="46" spans="1:7" ht="14.1" customHeight="1" x14ac:dyDescent="0.2">
      <c r="A46" s="3"/>
      <c r="B46" s="237"/>
      <c r="C46" s="237"/>
      <c r="D46" s="237"/>
      <c r="E46" s="237"/>
      <c r="F46" s="237"/>
      <c r="G46" s="237"/>
    </row>
    <row r="47" spans="1:7" ht="14.1" customHeight="1" x14ac:dyDescent="0.2">
      <c r="A47" s="237" t="s">
        <v>389</v>
      </c>
      <c r="B47" s="237"/>
      <c r="C47" s="237"/>
      <c r="D47" s="237"/>
      <c r="E47" s="237"/>
      <c r="F47" s="237"/>
      <c r="G47" s="237"/>
    </row>
    <row r="48" spans="1:7" ht="14.1" customHeight="1" x14ac:dyDescent="0.2">
      <c r="A48" s="237" t="s">
        <v>429</v>
      </c>
      <c r="B48" s="237"/>
      <c r="C48" s="237"/>
      <c r="D48" s="237"/>
      <c r="E48" s="237"/>
      <c r="F48" s="237"/>
      <c r="G48" s="237"/>
    </row>
    <row r="49" spans="1:7" ht="14.1" customHeight="1" x14ac:dyDescent="0.2">
      <c r="A49" s="237" t="s">
        <v>432</v>
      </c>
      <c r="B49" s="237"/>
      <c r="C49" s="237"/>
      <c r="D49" s="237"/>
      <c r="E49" s="237"/>
      <c r="F49" s="237"/>
      <c r="G49" s="237"/>
    </row>
    <row r="50" spans="1:7" ht="14.1" customHeight="1" x14ac:dyDescent="0.2">
      <c r="A50" s="237" t="s">
        <v>430</v>
      </c>
      <c r="B50" s="237"/>
      <c r="C50" s="237"/>
      <c r="D50" s="237"/>
      <c r="E50" s="237"/>
      <c r="F50" s="237"/>
      <c r="G50" s="237"/>
    </row>
    <row r="51" spans="1:7" x14ac:dyDescent="0.2">
      <c r="A51" s="237" t="s">
        <v>431</v>
      </c>
      <c r="B51" s="237"/>
      <c r="C51" s="237"/>
      <c r="D51" s="237"/>
      <c r="E51" s="237"/>
      <c r="F51" s="237"/>
      <c r="G51" s="237"/>
    </row>
    <row r="52" spans="1:7" x14ac:dyDescent="0.2">
      <c r="A52" s="237" t="s">
        <v>293</v>
      </c>
      <c r="B52" s="237"/>
      <c r="C52" s="237"/>
      <c r="D52" s="237"/>
      <c r="E52" s="237"/>
      <c r="F52" s="237"/>
      <c r="G52" s="237"/>
    </row>
    <row r="53" spans="1:7" ht="17.25" x14ac:dyDescent="0.5">
      <c r="A53" s="130"/>
      <c r="B53" s="130"/>
      <c r="C53" s="130"/>
      <c r="D53" s="130"/>
      <c r="E53" s="130"/>
      <c r="F53" s="130"/>
      <c r="G53" s="130"/>
    </row>
  </sheetData>
  <sheetProtection algorithmName="SHA-512" hashValue="Ge5K3pU62gv2rkPKVRYwzMkX7xBe+tbAlio7RNuT7AVmb1uYfrLegFWzE5dVc3/3x1049f2Y2AkOS/0GGFfv8A==" saltValue="cVNxMjV/CBdN+cNa3WkgKQ==" spinCount="100000" sheet="1" selectLockedCells="1"/>
  <protectedRanges>
    <protectedRange sqref="C6 B7:C7 D6:G7" name="náz1"/>
    <protectedRange algorithmName="SHA-512" hashValue="OleguiW7pYfHoDiygw0z61QJEMMBKzxbeXEgtjMbDqDIRfdNSqg4aR/BcxSx1h+IeFa5punFn2beuYJvG1v+Aw==" saltValue="vXv5UmHzJoPtcmi5o6J4oA==" spinCount="100000" sqref="C6" name="Oblast1"/>
  </protectedRanges>
  <mergeCells count="15">
    <mergeCell ref="A1:G1"/>
    <mergeCell ref="B7:G7"/>
    <mergeCell ref="B9:G9"/>
    <mergeCell ref="A2:G2"/>
    <mergeCell ref="B39:C39"/>
    <mergeCell ref="B6:G6"/>
    <mergeCell ref="B8:G8"/>
    <mergeCell ref="B29:C29"/>
    <mergeCell ref="B34:C34"/>
    <mergeCell ref="A17:G17"/>
    <mergeCell ref="F29:G29"/>
    <mergeCell ref="F34:G34"/>
    <mergeCell ref="F39:G39"/>
    <mergeCell ref="F28:G28"/>
    <mergeCell ref="B25:C25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1"/>
  <sheetViews>
    <sheetView showGridLines="0" zoomScaleNormal="100" workbookViewId="0">
      <selection activeCell="A8" sqref="A8"/>
    </sheetView>
  </sheetViews>
  <sheetFormatPr defaultColWidth="9.140625" defaultRowHeight="12.75" x14ac:dyDescent="0.2"/>
  <cols>
    <col min="1" max="1" width="7.140625" style="186" customWidth="1"/>
    <col min="2" max="2" width="46.28515625" style="186" customWidth="1"/>
    <col min="3" max="3" width="13.42578125" style="186" customWidth="1"/>
    <col min="4" max="7" width="12" style="186" customWidth="1"/>
    <col min="8" max="8" width="9.140625" style="186"/>
    <col min="9" max="9" width="11.7109375" style="186" bestFit="1" customWidth="1"/>
    <col min="10" max="10" width="12.7109375" style="186" bestFit="1" customWidth="1"/>
    <col min="11" max="16384" width="9.140625" style="186"/>
  </cols>
  <sheetData>
    <row r="1" spans="1:7" s="185" customFormat="1" ht="16.5" customHeight="1" x14ac:dyDescent="0.2">
      <c r="A1" s="522" t="s">
        <v>426</v>
      </c>
      <c r="B1" s="522"/>
      <c r="C1" s="522"/>
      <c r="D1" s="522"/>
      <c r="E1" s="522"/>
      <c r="F1" s="522"/>
      <c r="G1" s="522"/>
    </row>
    <row r="2" spans="1:7" s="185" customFormat="1" ht="16.5" customHeight="1" x14ac:dyDescent="0.3">
      <c r="A2" s="523" t="str">
        <f>Úvod!Doplňte_název_organizace</f>
        <v>Domov Raspenava, příspěvková organizace</v>
      </c>
      <c r="B2" s="523"/>
      <c r="C2" s="523"/>
      <c r="D2" s="523"/>
      <c r="E2" s="523"/>
      <c r="F2" s="523"/>
      <c r="G2" s="523"/>
    </row>
    <row r="3" spans="1:7" ht="16.5" customHeight="1" thickBot="1" x14ac:dyDescent="0.3">
      <c r="A3" s="317"/>
      <c r="B3" s="317"/>
      <c r="C3" s="317"/>
      <c r="D3" s="317"/>
      <c r="E3" s="317"/>
      <c r="F3" s="317"/>
      <c r="G3" s="317"/>
    </row>
    <row r="4" spans="1:7" ht="42" customHeight="1" thickBot="1" x14ac:dyDescent="0.25">
      <c r="A4" s="318" t="s">
        <v>395</v>
      </c>
      <c r="B4" s="319" t="s">
        <v>189</v>
      </c>
      <c r="C4" s="320" t="s">
        <v>90</v>
      </c>
      <c r="D4" s="320" t="s">
        <v>91</v>
      </c>
      <c r="E4" s="320" t="s">
        <v>396</v>
      </c>
      <c r="F4" s="321" t="s">
        <v>192</v>
      </c>
      <c r="G4" s="322"/>
    </row>
    <row r="5" spans="1:7" ht="13.5" customHeight="1" x14ac:dyDescent="0.25">
      <c r="A5" s="323" t="s">
        <v>297</v>
      </c>
      <c r="B5" s="187" t="s">
        <v>474</v>
      </c>
      <c r="C5" s="188">
        <v>200000</v>
      </c>
      <c r="D5" s="188">
        <v>200000</v>
      </c>
      <c r="E5" s="188">
        <v>0</v>
      </c>
      <c r="F5" s="189">
        <v>0</v>
      </c>
      <c r="G5" s="324"/>
    </row>
    <row r="6" spans="1:7" ht="13.5" customHeight="1" x14ac:dyDescent="0.25">
      <c r="A6" s="325" t="s">
        <v>298</v>
      </c>
      <c r="B6" s="190"/>
      <c r="C6" s="191"/>
      <c r="D6" s="191"/>
      <c r="E6" s="191"/>
      <c r="F6" s="192"/>
      <c r="G6" s="324"/>
    </row>
    <row r="7" spans="1:7" ht="13.5" customHeight="1" x14ac:dyDescent="0.25">
      <c r="A7" s="325" t="s">
        <v>299</v>
      </c>
      <c r="B7" s="190"/>
      <c r="C7" s="191"/>
      <c r="D7" s="191"/>
      <c r="E7" s="191"/>
      <c r="F7" s="192"/>
      <c r="G7" s="324"/>
    </row>
    <row r="8" spans="1:7" ht="13.5" customHeight="1" x14ac:dyDescent="0.25">
      <c r="A8" s="325" t="s">
        <v>300</v>
      </c>
      <c r="B8" s="190"/>
      <c r="C8" s="191"/>
      <c r="D8" s="191"/>
      <c r="E8" s="191"/>
      <c r="F8" s="192"/>
      <c r="G8" s="324"/>
    </row>
    <row r="9" spans="1:7" ht="13.5" customHeight="1" thickBot="1" x14ac:dyDescent="0.3">
      <c r="A9" s="326" t="s">
        <v>301</v>
      </c>
      <c r="B9" s="193"/>
      <c r="C9" s="194"/>
      <c r="D9" s="194"/>
      <c r="E9" s="194"/>
      <c r="F9" s="195"/>
      <c r="G9" s="324"/>
    </row>
    <row r="10" spans="1:7" ht="15" thickBot="1" x14ac:dyDescent="0.25">
      <c r="A10" s="327" t="s">
        <v>302</v>
      </c>
      <c r="B10" s="328" t="s">
        <v>190</v>
      </c>
      <c r="C10" s="418">
        <f>SUM(C5:C9)</f>
        <v>200000</v>
      </c>
      <c r="D10" s="418">
        <f>SUM(D5:D9)</f>
        <v>200000</v>
      </c>
      <c r="E10" s="418">
        <f>SUM(E5:E9)</f>
        <v>0</v>
      </c>
      <c r="F10" s="419">
        <f>SUM(F5:F9)</f>
        <v>0</v>
      </c>
      <c r="G10" s="329"/>
    </row>
    <row r="11" spans="1:7" ht="15" x14ac:dyDescent="0.25">
      <c r="A11" s="525" t="s">
        <v>106</v>
      </c>
      <c r="B11" s="525"/>
      <c r="C11" s="525"/>
      <c r="D11" s="525"/>
      <c r="E11" s="525"/>
      <c r="F11" s="525"/>
      <c r="G11" s="526"/>
    </row>
    <row r="12" spans="1:7" ht="15" x14ac:dyDescent="0.25">
      <c r="A12" s="424"/>
      <c r="B12" s="424"/>
      <c r="C12" s="424"/>
      <c r="D12" s="424"/>
      <c r="E12" s="424"/>
      <c r="F12" s="424"/>
      <c r="G12" s="424"/>
    </row>
    <row r="13" spans="1:7" ht="15.75" thickBot="1" x14ac:dyDescent="0.3">
      <c r="A13" s="317"/>
      <c r="B13" s="317"/>
      <c r="C13" s="330"/>
      <c r="D13" s="330"/>
      <c r="E13" s="330"/>
      <c r="F13" s="330"/>
      <c r="G13" s="330"/>
    </row>
    <row r="14" spans="1:7" ht="42" customHeight="1" thickBot="1" x14ac:dyDescent="0.25">
      <c r="A14" s="318" t="s">
        <v>395</v>
      </c>
      <c r="B14" s="319" t="s">
        <v>191</v>
      </c>
      <c r="C14" s="320" t="s">
        <v>90</v>
      </c>
      <c r="D14" s="320" t="s">
        <v>91</v>
      </c>
      <c r="E14" s="320" t="s">
        <v>414</v>
      </c>
      <c r="F14" s="320" t="s">
        <v>92</v>
      </c>
      <c r="G14" s="321" t="s">
        <v>397</v>
      </c>
    </row>
    <row r="15" spans="1:7" ht="14.25" x14ac:dyDescent="0.2">
      <c r="A15" s="323" t="s">
        <v>303</v>
      </c>
      <c r="B15" s="331" t="s">
        <v>93</v>
      </c>
      <c r="C15" s="420">
        <f>SUM(C16:C20)</f>
        <v>0</v>
      </c>
      <c r="D15" s="420">
        <f>SUM(D16:D20)</f>
        <v>0</v>
      </c>
      <c r="E15" s="420">
        <f>SUM(E16:E20)</f>
        <v>0</v>
      </c>
      <c r="F15" s="420">
        <f>SUM(F16:F20)</f>
        <v>0</v>
      </c>
      <c r="G15" s="421">
        <f>SUM(G16:G20)</f>
        <v>0</v>
      </c>
    </row>
    <row r="16" spans="1:7" ht="15" x14ac:dyDescent="0.25">
      <c r="A16" s="325" t="s">
        <v>304</v>
      </c>
      <c r="B16" s="190"/>
      <c r="C16" s="191"/>
      <c r="D16" s="191"/>
      <c r="E16" s="191" t="s">
        <v>200</v>
      </c>
      <c r="F16" s="191"/>
      <c r="G16" s="192"/>
    </row>
    <row r="17" spans="1:10" ht="15" x14ac:dyDescent="0.25">
      <c r="A17" s="325" t="s">
        <v>305</v>
      </c>
      <c r="B17" s="190"/>
      <c r="C17" s="191"/>
      <c r="D17" s="191"/>
      <c r="E17" s="191"/>
      <c r="F17" s="191"/>
      <c r="G17" s="192"/>
    </row>
    <row r="18" spans="1:10" ht="15" x14ac:dyDescent="0.25">
      <c r="A18" s="325" t="s">
        <v>306</v>
      </c>
      <c r="B18" s="190"/>
      <c r="C18" s="191"/>
      <c r="D18" s="191"/>
      <c r="E18" s="191"/>
      <c r="F18" s="191"/>
      <c r="G18" s="192"/>
    </row>
    <row r="19" spans="1:10" ht="15" x14ac:dyDescent="0.25">
      <c r="A19" s="325" t="s">
        <v>307</v>
      </c>
      <c r="B19" s="190"/>
      <c r="C19" s="191"/>
      <c r="D19" s="191"/>
      <c r="E19" s="191"/>
      <c r="F19" s="191"/>
      <c r="G19" s="192"/>
    </row>
    <row r="20" spans="1:10" ht="15" x14ac:dyDescent="0.25">
      <c r="A20" s="325" t="s">
        <v>308</v>
      </c>
      <c r="B20" s="190"/>
      <c r="C20" s="191"/>
      <c r="D20" s="191"/>
      <c r="E20" s="191"/>
      <c r="F20" s="191"/>
      <c r="G20" s="192"/>
    </row>
    <row r="21" spans="1:10" ht="14.25" x14ac:dyDescent="0.2">
      <c r="A21" s="325" t="s">
        <v>309</v>
      </c>
      <c r="B21" s="332" t="s">
        <v>94</v>
      </c>
      <c r="C21" s="422">
        <f>SUM(C22:C28)</f>
        <v>0</v>
      </c>
      <c r="D21" s="422">
        <f>SUM(D22:D28)</f>
        <v>0</v>
      </c>
      <c r="E21" s="422">
        <f>SUM(E22:E28)</f>
        <v>0</v>
      </c>
      <c r="F21" s="422">
        <f>SUM(F22:F28)</f>
        <v>0</v>
      </c>
      <c r="G21" s="423">
        <f>SUM(G22:G28)</f>
        <v>0</v>
      </c>
    </row>
    <row r="22" spans="1:10" ht="14.1" customHeight="1" x14ac:dyDescent="0.25">
      <c r="A22" s="325" t="s">
        <v>310</v>
      </c>
      <c r="B22" s="190"/>
      <c r="C22" s="191"/>
      <c r="D22" s="191"/>
      <c r="E22" s="191"/>
      <c r="F22" s="191"/>
      <c r="G22" s="192"/>
      <c r="I22" s="196"/>
    </row>
    <row r="23" spans="1:10" ht="14.1" customHeight="1" x14ac:dyDescent="0.25">
      <c r="A23" s="325" t="s">
        <v>311</v>
      </c>
      <c r="B23" s="190"/>
      <c r="C23" s="191"/>
      <c r="D23" s="191"/>
      <c r="E23" s="191"/>
      <c r="F23" s="191"/>
      <c r="G23" s="192"/>
    </row>
    <row r="24" spans="1:10" ht="14.1" customHeight="1" x14ac:dyDescent="0.25">
      <c r="A24" s="325" t="s">
        <v>312</v>
      </c>
      <c r="B24" s="190"/>
      <c r="C24" s="191"/>
      <c r="D24" s="191"/>
      <c r="E24" s="191"/>
      <c r="F24" s="191"/>
      <c r="G24" s="192"/>
    </row>
    <row r="25" spans="1:10" ht="15" x14ac:dyDescent="0.25">
      <c r="A25" s="325" t="s">
        <v>313</v>
      </c>
      <c r="B25" s="190"/>
      <c r="C25" s="191"/>
      <c r="D25" s="191"/>
      <c r="E25" s="191"/>
      <c r="F25" s="191"/>
      <c r="G25" s="192"/>
      <c r="J25" s="196"/>
    </row>
    <row r="26" spans="1:10" ht="13.5" customHeight="1" x14ac:dyDescent="0.25">
      <c r="A26" s="325" t="s">
        <v>314</v>
      </c>
      <c r="B26" s="190"/>
      <c r="C26" s="191"/>
      <c r="D26" s="191"/>
      <c r="E26" s="191"/>
      <c r="F26" s="191"/>
      <c r="G26" s="192"/>
    </row>
    <row r="27" spans="1:10" ht="15" x14ac:dyDescent="0.25">
      <c r="A27" s="325" t="s">
        <v>315</v>
      </c>
      <c r="B27" s="190"/>
      <c r="C27" s="191"/>
      <c r="D27" s="191"/>
      <c r="E27" s="191"/>
      <c r="F27" s="191"/>
      <c r="G27" s="192"/>
    </row>
    <row r="28" spans="1:10" ht="15.75" thickBot="1" x14ac:dyDescent="0.3">
      <c r="A28" s="326" t="s">
        <v>316</v>
      </c>
      <c r="B28" s="193"/>
      <c r="C28" s="194"/>
      <c r="D28" s="194"/>
      <c r="E28" s="194"/>
      <c r="F28" s="194"/>
      <c r="G28" s="195"/>
    </row>
    <row r="29" spans="1:10" ht="15" thickBot="1" x14ac:dyDescent="0.25">
      <c r="A29" s="327" t="s">
        <v>317</v>
      </c>
      <c r="B29" s="328" t="s">
        <v>190</v>
      </c>
      <c r="C29" s="418">
        <f>C15+C21</f>
        <v>0</v>
      </c>
      <c r="D29" s="418">
        <f>D15+D21</f>
        <v>0</v>
      </c>
      <c r="E29" s="418">
        <f>E15+E21</f>
        <v>0</v>
      </c>
      <c r="F29" s="418">
        <f>F15+F21</f>
        <v>0</v>
      </c>
      <c r="G29" s="419">
        <f>G15+G21</f>
        <v>0</v>
      </c>
    </row>
    <row r="30" spans="1:10" ht="15" x14ac:dyDescent="0.25">
      <c r="A30" s="524"/>
      <c r="B30" s="524"/>
      <c r="C30" s="524"/>
      <c r="D30" s="524"/>
      <c r="E30" s="524"/>
      <c r="F30" s="524"/>
      <c r="G30" s="524"/>
    </row>
    <row r="31" spans="1:10" ht="15" x14ac:dyDescent="0.25">
      <c r="A31" s="197"/>
      <c r="B31" s="197"/>
      <c r="C31" s="197"/>
      <c r="D31" s="197"/>
      <c r="E31" s="197"/>
      <c r="F31" s="197"/>
      <c r="G31" s="197"/>
    </row>
    <row r="38" ht="12.75" customHeight="1" x14ac:dyDescent="0.2"/>
    <row r="40" ht="17.25" customHeight="1" x14ac:dyDescent="0.2"/>
    <row r="41" ht="10.5" customHeight="1" x14ac:dyDescent="0.2"/>
  </sheetData>
  <sheetProtection algorithmName="SHA-512" hashValue="rE0iySL9IiFeg+iCFNDsL2qonWEJNWba/4+fP4ZNZknbycac3dA3kXRO/gOembWIaTkvGuYX2htelJkDqiPnBw==" saltValue="VDclemVYyXU4IKamZZjZEg==" spinCount="100000" sheet="1" selectLockedCells="1"/>
  <mergeCells count="4">
    <mergeCell ref="A1:G1"/>
    <mergeCell ref="A2:G2"/>
    <mergeCell ref="A30:G30"/>
    <mergeCell ref="A11:G11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75" orientation="portrait" r:id="rId1"/>
  <headerFooter alignWithMargins="0">
    <oddHeader>&amp;R&amp;"Arial CE,Tučné"P4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2"/>
  <sheetViews>
    <sheetView showGridLines="0" topLeftCell="A11" zoomScale="115" zoomScaleNormal="115" workbookViewId="0">
      <selection activeCell="H34" sqref="H34"/>
    </sheetView>
  </sheetViews>
  <sheetFormatPr defaultRowHeight="12.75" x14ac:dyDescent="0.2"/>
  <cols>
    <col min="1" max="1" width="7" customWidth="1"/>
    <col min="2" max="2" width="40.140625" customWidth="1"/>
    <col min="3" max="4" width="15.7109375" customWidth="1"/>
    <col min="5" max="9" width="14.28515625" customWidth="1"/>
  </cols>
  <sheetData>
    <row r="1" spans="1:11" ht="16.5" customHeight="1" x14ac:dyDescent="0.3">
      <c r="A1" s="494" t="s">
        <v>427</v>
      </c>
      <c r="B1" s="494"/>
      <c r="C1" s="494"/>
      <c r="D1" s="494"/>
      <c r="E1" s="494"/>
      <c r="F1" s="494"/>
      <c r="G1" s="494"/>
      <c r="H1" s="494"/>
      <c r="I1" s="494"/>
      <c r="J1" s="71"/>
      <c r="K1" s="71"/>
    </row>
    <row r="2" spans="1:11" ht="16.5" customHeight="1" x14ac:dyDescent="0.3">
      <c r="A2" s="495" t="str">
        <f>Úvod!B7</f>
        <v>Domov Raspenava, příspěvková organizace</v>
      </c>
      <c r="B2" s="495"/>
      <c r="C2" s="495"/>
      <c r="D2" s="495"/>
      <c r="E2" s="495"/>
      <c r="F2" s="495"/>
      <c r="G2" s="495"/>
      <c r="H2" s="495"/>
      <c r="I2" s="495"/>
      <c r="J2" s="71"/>
      <c r="K2" s="71"/>
    </row>
    <row r="3" spans="1:11" ht="16.5" thickBot="1" x14ac:dyDescent="0.3">
      <c r="A3" s="533"/>
      <c r="B3" s="533"/>
      <c r="C3" s="533"/>
      <c r="D3" s="533"/>
      <c r="E3" s="533"/>
      <c r="F3" s="533"/>
      <c r="G3" s="533"/>
      <c r="H3" s="533"/>
      <c r="I3" s="533"/>
      <c r="J3" s="71"/>
      <c r="K3" s="71"/>
    </row>
    <row r="4" spans="1:11" ht="16.5" thickBot="1" x14ac:dyDescent="0.3">
      <c r="A4" s="527" t="s">
        <v>193</v>
      </c>
      <c r="B4" s="528"/>
      <c r="C4" s="528"/>
      <c r="D4" s="528"/>
      <c r="E4" s="528"/>
      <c r="F4" s="528"/>
      <c r="G4" s="528"/>
      <c r="H4" s="528"/>
      <c r="I4" s="529"/>
      <c r="J4" s="71"/>
      <c r="K4" s="71"/>
    </row>
    <row r="5" spans="1:11" ht="43.5" thickBot="1" x14ac:dyDescent="0.25">
      <c r="A5" s="333" t="s">
        <v>395</v>
      </c>
      <c r="B5" s="334" t="s">
        <v>404</v>
      </c>
      <c r="C5" s="335" t="s">
        <v>405</v>
      </c>
      <c r="D5" s="336" t="s">
        <v>406</v>
      </c>
      <c r="E5" s="334" t="s">
        <v>407</v>
      </c>
      <c r="F5" s="337" t="s">
        <v>408</v>
      </c>
      <c r="G5" s="336" t="s">
        <v>409</v>
      </c>
      <c r="H5" s="336" t="s">
        <v>410</v>
      </c>
      <c r="I5" s="338" t="s">
        <v>411</v>
      </c>
      <c r="J5" s="72"/>
      <c r="K5" s="72"/>
    </row>
    <row r="6" spans="1:11" ht="15" customHeight="1" x14ac:dyDescent="0.2">
      <c r="A6" s="339" t="s">
        <v>297</v>
      </c>
      <c r="B6" s="340" t="s">
        <v>95</v>
      </c>
      <c r="C6" s="408">
        <f>SUM(C7:C13)</f>
        <v>2373328.44</v>
      </c>
      <c r="D6" s="408">
        <f>SUM(D7:D13)</f>
        <v>505292</v>
      </c>
      <c r="E6" s="341"/>
      <c r="F6" s="342"/>
      <c r="G6" s="408">
        <f>SUM(G7:G13)</f>
        <v>160476</v>
      </c>
      <c r="H6" s="408">
        <f>SUM(H7:H13)</f>
        <v>0</v>
      </c>
      <c r="I6" s="409">
        <f>SUM(I7:I13)</f>
        <v>1707560.44</v>
      </c>
      <c r="J6" s="73"/>
      <c r="K6" s="73"/>
    </row>
    <row r="7" spans="1:11" ht="15" customHeight="1" x14ac:dyDescent="0.25">
      <c r="A7" s="343" t="s">
        <v>298</v>
      </c>
      <c r="B7" s="344" t="s">
        <v>96</v>
      </c>
      <c r="C7" s="180">
        <v>42350</v>
      </c>
      <c r="D7" s="180">
        <v>7056</v>
      </c>
      <c r="E7" s="181" t="s">
        <v>475</v>
      </c>
      <c r="F7" s="182"/>
      <c r="G7" s="180">
        <v>4032</v>
      </c>
      <c r="H7" s="180"/>
      <c r="I7" s="410">
        <f>C7-D7-G7</f>
        <v>31262</v>
      </c>
      <c r="J7" s="74"/>
      <c r="K7" s="74"/>
    </row>
    <row r="8" spans="1:11" ht="15" customHeight="1" x14ac:dyDescent="0.25">
      <c r="A8" s="343" t="s">
        <v>299</v>
      </c>
      <c r="B8" s="344" t="s">
        <v>97</v>
      </c>
      <c r="C8" s="180">
        <v>53259</v>
      </c>
      <c r="D8" s="180">
        <v>18566</v>
      </c>
      <c r="E8" s="181" t="s">
        <v>475</v>
      </c>
      <c r="F8" s="182"/>
      <c r="G8" s="180">
        <v>5064</v>
      </c>
      <c r="H8" s="180"/>
      <c r="I8" s="410">
        <f t="shared" ref="I8:I16" si="0">C8-D8-G8</f>
        <v>29629</v>
      </c>
      <c r="J8" s="74"/>
      <c r="K8" s="74"/>
    </row>
    <row r="9" spans="1:11" ht="15" customHeight="1" x14ac:dyDescent="0.25">
      <c r="A9" s="343" t="s">
        <v>300</v>
      </c>
      <c r="B9" s="344" t="s">
        <v>98</v>
      </c>
      <c r="C9" s="180">
        <v>357535</v>
      </c>
      <c r="D9" s="180">
        <v>108358</v>
      </c>
      <c r="E9" s="181" t="s">
        <v>476</v>
      </c>
      <c r="F9" s="182"/>
      <c r="G9" s="180">
        <v>22608</v>
      </c>
      <c r="H9" s="180"/>
      <c r="I9" s="410">
        <f t="shared" si="0"/>
        <v>226569</v>
      </c>
      <c r="J9" s="74"/>
      <c r="K9" s="74"/>
    </row>
    <row r="10" spans="1:11" ht="15" customHeight="1" x14ac:dyDescent="0.25">
      <c r="A10" s="343" t="s">
        <v>301</v>
      </c>
      <c r="B10" s="344" t="s">
        <v>99</v>
      </c>
      <c r="C10" s="180">
        <v>1216861.44</v>
      </c>
      <c r="D10" s="180">
        <v>98480</v>
      </c>
      <c r="E10" s="181" t="s">
        <v>477</v>
      </c>
      <c r="F10" s="182"/>
      <c r="G10" s="180">
        <v>61956</v>
      </c>
      <c r="H10" s="180"/>
      <c r="I10" s="410">
        <f t="shared" si="0"/>
        <v>1056425.44</v>
      </c>
      <c r="J10" s="74"/>
      <c r="K10" s="75"/>
    </row>
    <row r="11" spans="1:11" ht="15" customHeight="1" x14ac:dyDescent="0.25">
      <c r="A11" s="343" t="s">
        <v>302</v>
      </c>
      <c r="B11" s="344" t="s">
        <v>100</v>
      </c>
      <c r="C11" s="180">
        <v>703323</v>
      </c>
      <c r="D11" s="180">
        <v>272832</v>
      </c>
      <c r="E11" s="181" t="s">
        <v>475</v>
      </c>
      <c r="F11" s="182"/>
      <c r="G11" s="180">
        <v>66816</v>
      </c>
      <c r="H11" s="180"/>
      <c r="I11" s="410">
        <f t="shared" si="0"/>
        <v>363675</v>
      </c>
      <c r="J11" s="74"/>
      <c r="K11" s="74"/>
    </row>
    <row r="12" spans="1:11" ht="15" customHeight="1" x14ac:dyDescent="0.25">
      <c r="A12" s="343" t="s">
        <v>303</v>
      </c>
      <c r="B12" s="344" t="s">
        <v>101</v>
      </c>
      <c r="C12" s="180"/>
      <c r="D12" s="180"/>
      <c r="E12" s="181"/>
      <c r="F12" s="182"/>
      <c r="G12" s="180"/>
      <c r="H12" s="180"/>
      <c r="I12" s="410">
        <f t="shared" si="0"/>
        <v>0</v>
      </c>
      <c r="J12" s="74"/>
      <c r="K12" s="74"/>
    </row>
    <row r="13" spans="1:11" ht="15" customHeight="1" x14ac:dyDescent="0.25">
      <c r="A13" s="343" t="s">
        <v>304</v>
      </c>
      <c r="B13" s="344" t="s">
        <v>102</v>
      </c>
      <c r="C13" s="180"/>
      <c r="D13" s="180"/>
      <c r="E13" s="181"/>
      <c r="F13" s="182"/>
      <c r="G13" s="180"/>
      <c r="H13" s="180"/>
      <c r="I13" s="410">
        <f t="shared" si="0"/>
        <v>0</v>
      </c>
      <c r="J13" s="74"/>
      <c r="K13" s="74"/>
    </row>
    <row r="14" spans="1:11" ht="15" customHeight="1" x14ac:dyDescent="0.2">
      <c r="A14" s="343" t="s">
        <v>305</v>
      </c>
      <c r="B14" s="345" t="s">
        <v>103</v>
      </c>
      <c r="C14" s="411">
        <f>SUM(C15:C16)</f>
        <v>75649942.739999995</v>
      </c>
      <c r="D14" s="411">
        <f>SUM(D15:D16)</f>
        <v>1746543</v>
      </c>
      <c r="E14" s="346"/>
      <c r="F14" s="347"/>
      <c r="G14" s="411">
        <f>SUM(G15:G16)</f>
        <v>480588</v>
      </c>
      <c r="H14" s="411">
        <f>SUM(H15:H16)</f>
        <v>341941.08</v>
      </c>
      <c r="I14" s="412">
        <f>SUM(I15:I16)</f>
        <v>73422811.739999995</v>
      </c>
      <c r="J14" s="73"/>
      <c r="K14" s="76"/>
    </row>
    <row r="15" spans="1:11" ht="15" customHeight="1" x14ac:dyDescent="0.25">
      <c r="A15" s="343" t="s">
        <v>306</v>
      </c>
      <c r="B15" s="344" t="s">
        <v>102</v>
      </c>
      <c r="C15" s="180">
        <v>165000</v>
      </c>
      <c r="D15" s="180">
        <v>82553</v>
      </c>
      <c r="E15" s="181" t="s">
        <v>478</v>
      </c>
      <c r="F15" s="182"/>
      <c r="G15" s="180">
        <v>2748</v>
      </c>
      <c r="H15" s="180"/>
      <c r="I15" s="410">
        <f t="shared" si="0"/>
        <v>79699</v>
      </c>
      <c r="J15" s="74"/>
      <c r="K15" s="74"/>
    </row>
    <row r="16" spans="1:11" ht="15" customHeight="1" x14ac:dyDescent="0.25">
      <c r="A16" s="343" t="s">
        <v>307</v>
      </c>
      <c r="B16" s="344" t="s">
        <v>104</v>
      </c>
      <c r="C16" s="180">
        <v>75484942.739999995</v>
      </c>
      <c r="D16" s="180">
        <v>1663990</v>
      </c>
      <c r="E16" s="181" t="s">
        <v>479</v>
      </c>
      <c r="F16" s="182"/>
      <c r="G16" s="180">
        <v>477840</v>
      </c>
      <c r="H16" s="180">
        <v>341941.08</v>
      </c>
      <c r="I16" s="410">
        <f t="shared" si="0"/>
        <v>73343112.739999995</v>
      </c>
      <c r="J16" s="74"/>
      <c r="K16" s="74"/>
    </row>
    <row r="17" spans="1:11" ht="15" customHeight="1" thickBot="1" x14ac:dyDescent="0.25">
      <c r="A17" s="348" t="s">
        <v>308</v>
      </c>
      <c r="B17" s="349" t="s">
        <v>402</v>
      </c>
      <c r="C17" s="413">
        <f>C6+C14</f>
        <v>78023271.179999992</v>
      </c>
      <c r="D17" s="413">
        <f>D6+D14</f>
        <v>2251835</v>
      </c>
      <c r="E17" s="350"/>
      <c r="F17" s="351"/>
      <c r="G17" s="413">
        <f>G6+G14</f>
        <v>641064</v>
      </c>
      <c r="H17" s="413">
        <f>H6+H14</f>
        <v>341941.08</v>
      </c>
      <c r="I17" s="414">
        <f>I6+I14</f>
        <v>75130372.179999992</v>
      </c>
      <c r="J17" s="73"/>
      <c r="K17" s="76"/>
    </row>
    <row r="18" spans="1:11" ht="16.5" customHeight="1" thickBot="1" x14ac:dyDescent="0.3">
      <c r="A18" s="530" t="s">
        <v>194</v>
      </c>
      <c r="B18" s="531"/>
      <c r="C18" s="531"/>
      <c r="D18" s="531"/>
      <c r="E18" s="531"/>
      <c r="F18" s="531"/>
      <c r="G18" s="531"/>
      <c r="H18" s="531"/>
      <c r="I18" s="532"/>
      <c r="J18" s="74"/>
      <c r="K18" s="74"/>
    </row>
    <row r="19" spans="1:11" ht="43.5" thickBot="1" x14ac:dyDescent="0.25">
      <c r="A19" s="352" t="s">
        <v>395</v>
      </c>
      <c r="B19" s="353" t="s">
        <v>404</v>
      </c>
      <c r="C19" s="354" t="s">
        <v>405</v>
      </c>
      <c r="D19" s="355" t="s">
        <v>406</v>
      </c>
      <c r="E19" s="353" t="s">
        <v>407</v>
      </c>
      <c r="F19" s="356" t="s">
        <v>408</v>
      </c>
      <c r="G19" s="355" t="s">
        <v>409</v>
      </c>
      <c r="H19" s="355" t="s">
        <v>410</v>
      </c>
      <c r="I19" s="357" t="s">
        <v>411</v>
      </c>
      <c r="J19" s="72"/>
      <c r="K19" s="72"/>
    </row>
    <row r="20" spans="1:11" ht="15" customHeight="1" x14ac:dyDescent="0.2">
      <c r="A20" s="339" t="s">
        <v>309</v>
      </c>
      <c r="B20" s="340" t="s">
        <v>95</v>
      </c>
      <c r="C20" s="408">
        <f>SUM(C21:C26)</f>
        <v>49507</v>
      </c>
      <c r="D20" s="408">
        <f>SUM(D21:D26)</f>
        <v>18492</v>
      </c>
      <c r="E20" s="358"/>
      <c r="F20" s="359"/>
      <c r="G20" s="408">
        <f>SUM(G21:G26)</f>
        <v>3120</v>
      </c>
      <c r="H20" s="408">
        <f>SUM(H21:H26)</f>
        <v>0</v>
      </c>
      <c r="I20" s="409">
        <f>SUM(I21:I26)</f>
        <v>27895</v>
      </c>
      <c r="J20" s="73"/>
      <c r="K20" s="73"/>
    </row>
    <row r="21" spans="1:11" ht="15" customHeight="1" x14ac:dyDescent="0.25">
      <c r="A21" s="343" t="s">
        <v>310</v>
      </c>
      <c r="B21" s="344" t="s">
        <v>96</v>
      </c>
      <c r="C21" s="180"/>
      <c r="D21" s="180"/>
      <c r="E21" s="183"/>
      <c r="F21" s="182"/>
      <c r="G21" s="180"/>
      <c r="H21" s="180"/>
      <c r="I21" s="410">
        <f t="shared" ref="I21:I29" si="1">C21-D21-G21</f>
        <v>0</v>
      </c>
      <c r="J21" s="74"/>
      <c r="K21" s="74"/>
    </row>
    <row r="22" spans="1:11" ht="15" customHeight="1" x14ac:dyDescent="0.25">
      <c r="A22" s="343" t="s">
        <v>311</v>
      </c>
      <c r="B22" s="344" t="s">
        <v>97</v>
      </c>
      <c r="C22" s="180"/>
      <c r="D22" s="180"/>
      <c r="E22" s="183"/>
      <c r="F22" s="182"/>
      <c r="G22" s="180"/>
      <c r="H22" s="180"/>
      <c r="I22" s="410">
        <f t="shared" si="1"/>
        <v>0</v>
      </c>
      <c r="J22" s="74"/>
      <c r="K22" s="74"/>
    </row>
    <row r="23" spans="1:11" ht="15" customHeight="1" x14ac:dyDescent="0.25">
      <c r="A23" s="343" t="s">
        <v>312</v>
      </c>
      <c r="B23" s="344" t="s">
        <v>98</v>
      </c>
      <c r="C23" s="180">
        <v>49507</v>
      </c>
      <c r="D23" s="180">
        <v>18492</v>
      </c>
      <c r="E23" s="183">
        <v>15</v>
      </c>
      <c r="F23" s="182"/>
      <c r="G23" s="180">
        <v>3120</v>
      </c>
      <c r="H23" s="180"/>
      <c r="I23" s="410">
        <f t="shared" si="1"/>
        <v>27895</v>
      </c>
      <c r="J23" s="74"/>
      <c r="K23" s="74"/>
    </row>
    <row r="24" spans="1:11" ht="15" customHeight="1" x14ac:dyDescent="0.25">
      <c r="A24" s="343" t="s">
        <v>313</v>
      </c>
      <c r="B24" s="344" t="s">
        <v>99</v>
      </c>
      <c r="C24" s="180"/>
      <c r="D24" s="180"/>
      <c r="E24" s="183"/>
      <c r="F24" s="182"/>
      <c r="G24" s="180"/>
      <c r="H24" s="180"/>
      <c r="I24" s="410">
        <f t="shared" si="1"/>
        <v>0</v>
      </c>
      <c r="J24" s="74"/>
      <c r="K24" s="74"/>
    </row>
    <row r="25" spans="1:11" ht="15" customHeight="1" x14ac:dyDescent="0.25">
      <c r="A25" s="343" t="s">
        <v>314</v>
      </c>
      <c r="B25" s="344" t="s">
        <v>101</v>
      </c>
      <c r="C25" s="180"/>
      <c r="D25" s="180"/>
      <c r="E25" s="183"/>
      <c r="F25" s="182"/>
      <c r="G25" s="180"/>
      <c r="H25" s="180"/>
      <c r="I25" s="410">
        <f t="shared" si="1"/>
        <v>0</v>
      </c>
      <c r="J25" s="74"/>
      <c r="K25" s="74"/>
    </row>
    <row r="26" spans="1:11" ht="15" customHeight="1" x14ac:dyDescent="0.25">
      <c r="A26" s="343" t="s">
        <v>315</v>
      </c>
      <c r="B26" s="344" t="s">
        <v>102</v>
      </c>
      <c r="C26" s="180"/>
      <c r="D26" s="180"/>
      <c r="E26" s="183"/>
      <c r="F26" s="182"/>
      <c r="G26" s="180"/>
      <c r="H26" s="180"/>
      <c r="I26" s="410">
        <f t="shared" si="1"/>
        <v>0</v>
      </c>
      <c r="J26" s="74"/>
      <c r="K26" s="74"/>
    </row>
    <row r="27" spans="1:11" ht="15" customHeight="1" x14ac:dyDescent="0.2">
      <c r="A27" s="343" t="s">
        <v>316</v>
      </c>
      <c r="B27" s="345" t="s">
        <v>103</v>
      </c>
      <c r="C27" s="411">
        <f>SUM(C28:C29)</f>
        <v>0</v>
      </c>
      <c r="D27" s="411">
        <f>SUM(D28:D29)</f>
        <v>0</v>
      </c>
      <c r="E27" s="360"/>
      <c r="F27" s="361"/>
      <c r="G27" s="411">
        <f t="shared" ref="G27:I27" si="2">SUM(G28:G29)</f>
        <v>0</v>
      </c>
      <c r="H27" s="411">
        <f t="shared" si="2"/>
        <v>0</v>
      </c>
      <c r="I27" s="412">
        <f t="shared" si="2"/>
        <v>0</v>
      </c>
      <c r="J27" s="73"/>
      <c r="K27" s="73"/>
    </row>
    <row r="28" spans="1:11" ht="15" customHeight="1" x14ac:dyDescent="0.25">
      <c r="A28" s="343" t="s">
        <v>317</v>
      </c>
      <c r="B28" s="344" t="s">
        <v>102</v>
      </c>
      <c r="C28" s="180"/>
      <c r="D28" s="180"/>
      <c r="E28" s="183"/>
      <c r="F28" s="182"/>
      <c r="G28" s="180"/>
      <c r="H28" s="180"/>
      <c r="I28" s="410">
        <f t="shared" si="1"/>
        <v>0</v>
      </c>
      <c r="J28" s="74"/>
      <c r="K28" s="74"/>
    </row>
    <row r="29" spans="1:11" ht="15" customHeight="1" x14ac:dyDescent="0.25">
      <c r="A29" s="343" t="s">
        <v>318</v>
      </c>
      <c r="B29" s="344" t="s">
        <v>104</v>
      </c>
      <c r="C29" s="180"/>
      <c r="D29" s="180"/>
      <c r="E29" s="183"/>
      <c r="F29" s="182"/>
      <c r="G29" s="180"/>
      <c r="H29" s="180"/>
      <c r="I29" s="410">
        <f t="shared" si="1"/>
        <v>0</v>
      </c>
      <c r="J29" s="74"/>
      <c r="K29" s="74"/>
    </row>
    <row r="30" spans="1:11" ht="15" customHeight="1" thickBot="1" x14ac:dyDescent="0.25">
      <c r="A30" s="348" t="s">
        <v>319</v>
      </c>
      <c r="B30" s="349" t="s">
        <v>195</v>
      </c>
      <c r="C30" s="413">
        <f>C20+C27</f>
        <v>49507</v>
      </c>
      <c r="D30" s="413">
        <f>D20+D27</f>
        <v>18492</v>
      </c>
      <c r="E30" s="362"/>
      <c r="F30" s="363"/>
      <c r="G30" s="413">
        <f>G20+G27</f>
        <v>3120</v>
      </c>
      <c r="H30" s="413">
        <f>H20+H27</f>
        <v>0</v>
      </c>
      <c r="I30" s="414">
        <f>I20+I27</f>
        <v>27895</v>
      </c>
      <c r="J30" s="73"/>
      <c r="K30" s="73"/>
    </row>
    <row r="31" spans="1:11" ht="15.75" thickBot="1" x14ac:dyDescent="0.3">
      <c r="A31" s="364" t="s">
        <v>320</v>
      </c>
      <c r="B31" s="365" t="s">
        <v>403</v>
      </c>
      <c r="C31" s="415">
        <f>C17+C30</f>
        <v>78072778.179999992</v>
      </c>
      <c r="D31" s="415">
        <f>D17+D30</f>
        <v>2270327</v>
      </c>
      <c r="E31" s="366"/>
      <c r="F31" s="367"/>
      <c r="G31" s="415">
        <f>G17+G30</f>
        <v>644184</v>
      </c>
      <c r="H31" s="415">
        <f>H17+H30</f>
        <v>341941.08</v>
      </c>
      <c r="I31" s="416">
        <f>I17+I30</f>
        <v>75158267.179999992</v>
      </c>
      <c r="J31" s="74"/>
      <c r="K31" s="74"/>
    </row>
    <row r="32" spans="1:11" ht="15" x14ac:dyDescent="0.25">
      <c r="A32" s="368"/>
      <c r="B32" s="368"/>
      <c r="C32" s="369"/>
      <c r="D32" s="369"/>
      <c r="E32" s="370"/>
      <c r="F32" s="371"/>
      <c r="G32" s="369"/>
      <c r="H32" s="369"/>
      <c r="I32" s="369"/>
      <c r="J32" s="74"/>
      <c r="K32" s="74"/>
    </row>
    <row r="33" spans="1:11" ht="15" x14ac:dyDescent="0.25">
      <c r="A33" s="372"/>
      <c r="B33" s="373"/>
      <c r="C33" s="3"/>
      <c r="D33" s="3"/>
      <c r="E33" s="3"/>
      <c r="F33" s="371"/>
      <c r="G33" s="417">
        <f>G31-H33</f>
        <v>644184</v>
      </c>
      <c r="H33" s="70">
        <v>0</v>
      </c>
      <c r="I33" s="405">
        <f>G33-G30-H31</f>
        <v>299122.92</v>
      </c>
      <c r="J33" s="13"/>
      <c r="K33" s="13"/>
    </row>
    <row r="34" spans="1:11" ht="15" x14ac:dyDescent="0.25">
      <c r="A34" s="220"/>
      <c r="B34" s="220"/>
      <c r="C34" s="374"/>
      <c r="D34" s="375" t="s">
        <v>196</v>
      </c>
      <c r="E34" s="376"/>
      <c r="F34" s="371"/>
      <c r="G34" s="377" t="s">
        <v>197</v>
      </c>
      <c r="H34" s="377" t="s">
        <v>198</v>
      </c>
      <c r="I34" s="377" t="s">
        <v>199</v>
      </c>
      <c r="J34" s="13"/>
      <c r="K34" s="13"/>
    </row>
    <row r="35" spans="1:11" ht="15" x14ac:dyDescent="0.25">
      <c r="A35" s="13"/>
      <c r="B35" s="13"/>
      <c r="C35" s="53"/>
      <c r="D35" s="53"/>
      <c r="E35" s="17"/>
      <c r="F35" s="77"/>
      <c r="G35" s="53"/>
      <c r="H35" s="53"/>
      <c r="I35" s="53"/>
      <c r="J35" s="13"/>
      <c r="K35" s="13"/>
    </row>
    <row r="36" spans="1:11" ht="15" x14ac:dyDescent="0.25">
      <c r="A36" s="13"/>
      <c r="B36" s="13"/>
      <c r="C36" s="53"/>
      <c r="D36" s="53"/>
      <c r="E36" s="17"/>
      <c r="F36" s="77"/>
      <c r="G36" s="53"/>
      <c r="H36" s="53"/>
      <c r="I36" s="53"/>
      <c r="J36" s="13"/>
      <c r="K36" s="13"/>
    </row>
    <row r="37" spans="1:11" ht="15" x14ac:dyDescent="0.25">
      <c r="A37" s="13"/>
      <c r="B37" s="13"/>
      <c r="C37" s="53"/>
      <c r="D37" s="53"/>
      <c r="E37" s="17"/>
      <c r="F37" s="77"/>
      <c r="G37" s="53"/>
      <c r="H37" s="53"/>
      <c r="I37" s="53"/>
      <c r="J37" s="13"/>
      <c r="K37" s="13"/>
    </row>
    <row r="38" spans="1:11" ht="15" x14ac:dyDescent="0.25">
      <c r="A38" s="13"/>
      <c r="B38" s="13"/>
      <c r="C38" s="53"/>
      <c r="D38" s="53"/>
      <c r="E38" s="17"/>
      <c r="F38" s="77"/>
      <c r="G38" s="53"/>
      <c r="H38" s="53"/>
      <c r="I38" s="53"/>
      <c r="J38" s="13"/>
      <c r="K38" s="13"/>
    </row>
    <row r="39" spans="1:11" ht="15" x14ac:dyDescent="0.25">
      <c r="A39" s="13"/>
      <c r="B39" s="13"/>
      <c r="C39" s="53"/>
      <c r="D39" s="53"/>
      <c r="E39" s="17"/>
      <c r="F39" s="77"/>
      <c r="G39" s="53"/>
      <c r="H39" s="53"/>
      <c r="I39" s="53"/>
      <c r="J39" s="13"/>
      <c r="K39" s="13"/>
    </row>
    <row r="40" spans="1:11" ht="15" x14ac:dyDescent="0.25">
      <c r="A40" s="13"/>
      <c r="B40" s="13"/>
      <c r="C40" s="53"/>
      <c r="D40" s="53"/>
      <c r="E40" s="17"/>
      <c r="F40" s="77"/>
      <c r="G40" s="53"/>
      <c r="H40" s="53"/>
      <c r="I40" s="53"/>
      <c r="J40" s="13"/>
      <c r="K40" s="13"/>
    </row>
    <row r="41" spans="1:11" ht="15" x14ac:dyDescent="0.25">
      <c r="A41" s="13"/>
      <c r="B41" s="13"/>
      <c r="C41" s="53"/>
      <c r="D41" s="53"/>
      <c r="E41" s="17"/>
      <c r="F41" s="77"/>
      <c r="G41" s="53"/>
      <c r="H41" s="53"/>
      <c r="I41" s="53"/>
      <c r="J41" s="13"/>
      <c r="K41" s="13"/>
    </row>
    <row r="42" spans="1:11" ht="15" x14ac:dyDescent="0.25">
      <c r="A42" s="13"/>
      <c r="B42" s="13"/>
      <c r="C42" s="53"/>
      <c r="D42" s="53"/>
      <c r="E42" s="17"/>
      <c r="F42" s="77"/>
      <c r="G42" s="53"/>
      <c r="H42" s="53"/>
      <c r="I42" s="53"/>
      <c r="J42" s="13"/>
      <c r="K42" s="13"/>
    </row>
  </sheetData>
  <sheetProtection algorithmName="SHA-512" hashValue="XQ7pJilGrg9oTm7nRYCZZeIghao8QCTWyUrquqiOPszNOlJWsJqgUECoVS8KKyqMekvK9YAC8hfWleBMOm4fjA==" saltValue="jEMMu0UW9EPAlC8CCKe18g==" spinCount="100000" sheet="1" selectLockedCells="1"/>
  <mergeCells count="5">
    <mergeCell ref="A4:I4"/>
    <mergeCell ref="A18:I18"/>
    <mergeCell ref="A1:I1"/>
    <mergeCell ref="A2:I2"/>
    <mergeCell ref="A3:I3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59" orientation="portrait" r:id="rId1"/>
  <headerFooter>
    <oddHeader>&amp;R&amp;"Arial CE,Tučné"P5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3"/>
  <sheetViews>
    <sheetView showGridLines="0" tabSelected="1" zoomScaleNormal="100" workbookViewId="0">
      <selection activeCell="G89" sqref="G89"/>
    </sheetView>
  </sheetViews>
  <sheetFormatPr defaultRowHeight="12.75" x14ac:dyDescent="0.2"/>
  <cols>
    <col min="1" max="1" width="7.140625" customWidth="1"/>
    <col min="4" max="4" width="39" customWidth="1"/>
    <col min="5" max="5" width="15" customWidth="1"/>
    <col min="6" max="6" width="14.42578125" customWidth="1"/>
    <col min="7" max="7" width="15.42578125" customWidth="1"/>
  </cols>
  <sheetData>
    <row r="1" spans="1:7" ht="18.75" x14ac:dyDescent="0.3">
      <c r="A1" s="494" t="s">
        <v>386</v>
      </c>
      <c r="B1" s="494"/>
      <c r="C1" s="494"/>
      <c r="D1" s="494"/>
      <c r="E1" s="494"/>
      <c r="F1" s="494"/>
      <c r="G1" s="494"/>
    </row>
    <row r="2" spans="1:7" ht="18.75" x14ac:dyDescent="0.3">
      <c r="A2" s="495" t="str">
        <f>Úvod!Doplňte_název_organizace</f>
        <v>Domov Raspenava, příspěvková organizace</v>
      </c>
      <c r="B2" s="495"/>
      <c r="C2" s="495"/>
      <c r="D2" s="495"/>
      <c r="E2" s="495"/>
      <c r="F2" s="495"/>
      <c r="G2" s="495"/>
    </row>
    <row r="3" spans="1:7" ht="13.5" thickBot="1" x14ac:dyDescent="0.25">
      <c r="A3" s="378"/>
      <c r="B3" s="378"/>
      <c r="C3" s="378"/>
      <c r="D3" s="378"/>
      <c r="E3" s="379"/>
      <c r="F3" s="379"/>
      <c r="G3" s="379"/>
    </row>
    <row r="4" spans="1:7" ht="18.75" customHeight="1" thickBot="1" x14ac:dyDescent="0.25">
      <c r="A4" s="199" t="s">
        <v>390</v>
      </c>
      <c r="B4" s="200"/>
      <c r="C4" s="201" t="s">
        <v>391</v>
      </c>
      <c r="D4" s="201" t="s">
        <v>392</v>
      </c>
      <c r="E4" s="380" t="s">
        <v>415</v>
      </c>
      <c r="F4" s="380" t="s">
        <v>416</v>
      </c>
      <c r="G4" s="381" t="s">
        <v>417</v>
      </c>
    </row>
    <row r="5" spans="1:7" ht="15.75" thickBot="1" x14ac:dyDescent="0.3">
      <c r="A5" s="204" t="s">
        <v>297</v>
      </c>
      <c r="B5" s="535" t="s">
        <v>137</v>
      </c>
      <c r="C5" s="467"/>
      <c r="D5" s="468"/>
      <c r="E5" s="140">
        <f>E6+E11+E16+E22+E26+E34+E43+E48+E52</f>
        <v>50716893</v>
      </c>
      <c r="F5" s="140">
        <f t="shared" ref="F5:G5" si="0">F6+F11+F16+F22+F26+F34+F43+F48+F52</f>
        <v>50994716</v>
      </c>
      <c r="G5" s="141">
        <f t="shared" si="0"/>
        <v>50990008</v>
      </c>
    </row>
    <row r="6" spans="1:7" ht="15" x14ac:dyDescent="0.25">
      <c r="A6" s="205" t="s">
        <v>298</v>
      </c>
      <c r="B6" s="382">
        <v>50</v>
      </c>
      <c r="C6" s="207" t="s">
        <v>6</v>
      </c>
      <c r="D6" s="208"/>
      <c r="E6" s="36">
        <f>SUM(E7:E10)</f>
        <v>5078709</v>
      </c>
      <c r="F6" s="36">
        <f>SUM(F7:F10)</f>
        <v>4982709</v>
      </c>
      <c r="G6" s="43">
        <f>SUM(G7:G10)</f>
        <v>4982709</v>
      </c>
    </row>
    <row r="7" spans="1:7" ht="15" x14ac:dyDescent="0.25">
      <c r="A7" s="310" t="s">
        <v>299</v>
      </c>
      <c r="B7" s="210"/>
      <c r="C7" s="211">
        <v>501</v>
      </c>
      <c r="D7" s="212" t="s">
        <v>7</v>
      </c>
      <c r="E7" s="37">
        <f>'P1 N a V'!G7</f>
        <v>3396000</v>
      </c>
      <c r="F7" s="37">
        <v>3300000</v>
      </c>
      <c r="G7" s="44">
        <f>F7</f>
        <v>3300000</v>
      </c>
    </row>
    <row r="8" spans="1:7" ht="15" x14ac:dyDescent="0.25">
      <c r="A8" s="310" t="s">
        <v>300</v>
      </c>
      <c r="B8" s="210"/>
      <c r="C8" s="211">
        <v>502</v>
      </c>
      <c r="D8" s="213" t="s">
        <v>140</v>
      </c>
      <c r="E8" s="37">
        <f>'P1 N a V'!G8</f>
        <v>1355000</v>
      </c>
      <c r="F8" s="37">
        <f t="shared" ref="F8:G10" si="1">E8</f>
        <v>1355000</v>
      </c>
      <c r="G8" s="44">
        <f t="shared" si="1"/>
        <v>1355000</v>
      </c>
    </row>
    <row r="9" spans="1:7" ht="15" x14ac:dyDescent="0.25">
      <c r="A9" s="310" t="s">
        <v>301</v>
      </c>
      <c r="B9" s="210"/>
      <c r="C9" s="211">
        <v>503</v>
      </c>
      <c r="D9" s="214" t="s">
        <v>141</v>
      </c>
      <c r="E9" s="37">
        <f>'P1 N a V'!G9</f>
        <v>327709</v>
      </c>
      <c r="F9" s="37">
        <f t="shared" si="1"/>
        <v>327709</v>
      </c>
      <c r="G9" s="45">
        <f t="shared" si="1"/>
        <v>327709</v>
      </c>
    </row>
    <row r="10" spans="1:7" ht="15" x14ac:dyDescent="0.25">
      <c r="A10" s="310" t="s">
        <v>302</v>
      </c>
      <c r="B10" s="210"/>
      <c r="C10" s="215">
        <v>504</v>
      </c>
      <c r="D10" s="225" t="s">
        <v>8</v>
      </c>
      <c r="E10" s="37">
        <f>'P1 N a V'!G10</f>
        <v>0</v>
      </c>
      <c r="F10" s="37">
        <f t="shared" si="1"/>
        <v>0</v>
      </c>
      <c r="G10" s="44">
        <f t="shared" si="1"/>
        <v>0</v>
      </c>
    </row>
    <row r="11" spans="1:7" ht="15" x14ac:dyDescent="0.25">
      <c r="A11" s="209" t="s">
        <v>303</v>
      </c>
      <c r="B11" s="383">
        <v>51</v>
      </c>
      <c r="C11" s="534" t="s">
        <v>9</v>
      </c>
      <c r="D11" s="534"/>
      <c r="E11" s="38">
        <f>SUM(E12:E15)</f>
        <v>1901000</v>
      </c>
      <c r="F11" s="38">
        <f>SUM(F12:F15)</f>
        <v>1775000</v>
      </c>
      <c r="G11" s="46">
        <f>SUM(G12:G15)</f>
        <v>1775000</v>
      </c>
    </row>
    <row r="12" spans="1:7" ht="15" x14ac:dyDescent="0.25">
      <c r="A12" s="310" t="s">
        <v>304</v>
      </c>
      <c r="B12" s="210"/>
      <c r="C12" s="211">
        <v>511</v>
      </c>
      <c r="D12" s="218" t="s">
        <v>10</v>
      </c>
      <c r="E12" s="37">
        <f>'P1 N a V'!G12</f>
        <v>270000</v>
      </c>
      <c r="F12" s="37">
        <v>250000</v>
      </c>
      <c r="G12" s="44">
        <f t="shared" ref="F12:G15" si="2">F12</f>
        <v>250000</v>
      </c>
    </row>
    <row r="13" spans="1:7" ht="15" x14ac:dyDescent="0.25">
      <c r="A13" s="310" t="s">
        <v>305</v>
      </c>
      <c r="B13" s="210"/>
      <c r="C13" s="211">
        <v>512</v>
      </c>
      <c r="D13" s="219" t="s">
        <v>11</v>
      </c>
      <c r="E13" s="37">
        <f>'P1 N a V'!G13</f>
        <v>15000</v>
      </c>
      <c r="F13" s="37">
        <f t="shared" si="2"/>
        <v>15000</v>
      </c>
      <c r="G13" s="44">
        <f t="shared" si="2"/>
        <v>15000</v>
      </c>
    </row>
    <row r="14" spans="1:7" ht="15" x14ac:dyDescent="0.25">
      <c r="A14" s="310" t="s">
        <v>306</v>
      </c>
      <c r="B14" s="210"/>
      <c r="C14" s="211">
        <v>513</v>
      </c>
      <c r="D14" s="220" t="s">
        <v>12</v>
      </c>
      <c r="E14" s="37">
        <f>'P1 N a V'!G14</f>
        <v>10000</v>
      </c>
      <c r="F14" s="37">
        <f t="shared" si="2"/>
        <v>10000</v>
      </c>
      <c r="G14" s="44">
        <f t="shared" si="2"/>
        <v>10000</v>
      </c>
    </row>
    <row r="15" spans="1:7" ht="15" x14ac:dyDescent="0.25">
      <c r="A15" s="310" t="s">
        <v>307</v>
      </c>
      <c r="B15" s="210"/>
      <c r="C15" s="211">
        <v>518</v>
      </c>
      <c r="D15" s="214" t="s">
        <v>13</v>
      </c>
      <c r="E15" s="37">
        <f>'P1 N a V'!G15</f>
        <v>1606000</v>
      </c>
      <c r="F15" s="37">
        <v>1500000</v>
      </c>
      <c r="G15" s="44">
        <f t="shared" si="2"/>
        <v>1500000</v>
      </c>
    </row>
    <row r="16" spans="1:7" ht="15" x14ac:dyDescent="0.25">
      <c r="A16" s="209" t="s">
        <v>308</v>
      </c>
      <c r="B16" s="383">
        <v>52</v>
      </c>
      <c r="C16" s="534" t="s">
        <v>14</v>
      </c>
      <c r="D16" s="534"/>
      <c r="E16" s="38">
        <f>SUM(E17:E21)</f>
        <v>42853000</v>
      </c>
      <c r="F16" s="38">
        <f>SUM(F17:F21)</f>
        <v>43354400</v>
      </c>
      <c r="G16" s="46">
        <f>SUM(G17:G21)</f>
        <v>43354400</v>
      </c>
    </row>
    <row r="17" spans="1:7" ht="15" x14ac:dyDescent="0.25">
      <c r="A17" s="310" t="s">
        <v>309</v>
      </c>
      <c r="B17" s="210"/>
      <c r="C17" s="211">
        <v>521</v>
      </c>
      <c r="D17" s="214" t="s">
        <v>15</v>
      </c>
      <c r="E17" s="37">
        <f>'P1 N a V'!G17</f>
        <v>31620000</v>
      </c>
      <c r="F17" s="37">
        <v>32000000</v>
      </c>
      <c r="G17" s="44">
        <f t="shared" ref="F17:G21" si="3">F17</f>
        <v>32000000</v>
      </c>
    </row>
    <row r="18" spans="1:7" ht="15" x14ac:dyDescent="0.25">
      <c r="A18" s="310" t="s">
        <v>310</v>
      </c>
      <c r="B18" s="210"/>
      <c r="C18" s="211">
        <v>524</v>
      </c>
      <c r="D18" s="214" t="s">
        <v>16</v>
      </c>
      <c r="E18" s="37">
        <f>'P1 N a V'!G18</f>
        <v>10751000</v>
      </c>
      <c r="F18" s="37">
        <f>F17*0.34</f>
        <v>10880000</v>
      </c>
      <c r="G18" s="44">
        <f>G17*0.34</f>
        <v>10880000</v>
      </c>
    </row>
    <row r="19" spans="1:7" ht="15" x14ac:dyDescent="0.25">
      <c r="A19" s="310" t="s">
        <v>311</v>
      </c>
      <c r="B19" s="210"/>
      <c r="C19" s="211">
        <v>525</v>
      </c>
      <c r="D19" s="214" t="s">
        <v>17</v>
      </c>
      <c r="E19" s="37">
        <f>'P1 N a V'!G19</f>
        <v>135000</v>
      </c>
      <c r="F19" s="37">
        <f>F17*0.0042</f>
        <v>134400</v>
      </c>
      <c r="G19" s="44">
        <f>G17*0.0042</f>
        <v>134400</v>
      </c>
    </row>
    <row r="20" spans="1:7" ht="15" x14ac:dyDescent="0.25">
      <c r="A20" s="310" t="s">
        <v>312</v>
      </c>
      <c r="B20" s="210"/>
      <c r="C20" s="211">
        <v>527</v>
      </c>
      <c r="D20" s="214" t="s">
        <v>18</v>
      </c>
      <c r="E20" s="37">
        <f>'P1 N a V'!G20</f>
        <v>347000</v>
      </c>
      <c r="F20" s="37">
        <f>F17*0.01+20000</f>
        <v>340000</v>
      </c>
      <c r="G20" s="44">
        <f>G17*0.01+20000</f>
        <v>340000</v>
      </c>
    </row>
    <row r="21" spans="1:7" ht="15" x14ac:dyDescent="0.25">
      <c r="A21" s="310" t="s">
        <v>313</v>
      </c>
      <c r="B21" s="210"/>
      <c r="C21" s="215">
        <v>528</v>
      </c>
      <c r="D21" s="221" t="s">
        <v>19</v>
      </c>
      <c r="E21" s="37">
        <f>'P1 N a V'!G21</f>
        <v>0</v>
      </c>
      <c r="F21" s="37">
        <f t="shared" si="3"/>
        <v>0</v>
      </c>
      <c r="G21" s="44">
        <f t="shared" si="3"/>
        <v>0</v>
      </c>
    </row>
    <row r="22" spans="1:7" ht="15" x14ac:dyDescent="0.25">
      <c r="A22" s="209" t="s">
        <v>314</v>
      </c>
      <c r="B22" s="383">
        <v>53</v>
      </c>
      <c r="C22" s="465" t="s">
        <v>20</v>
      </c>
      <c r="D22" s="537"/>
      <c r="E22" s="38">
        <f>SUM(E23:E25)</f>
        <v>0</v>
      </c>
      <c r="F22" s="38">
        <f>SUM(F23:F25)</f>
        <v>0</v>
      </c>
      <c r="G22" s="46">
        <f>SUM(G23:G25)</f>
        <v>0</v>
      </c>
    </row>
    <row r="23" spans="1:7" ht="15" x14ac:dyDescent="0.25">
      <c r="A23" s="310" t="s">
        <v>315</v>
      </c>
      <c r="B23" s="210"/>
      <c r="C23" s="211">
        <v>531</v>
      </c>
      <c r="D23" s="222" t="s">
        <v>21</v>
      </c>
      <c r="E23" s="37">
        <f>'P1 N a V'!G23</f>
        <v>0</v>
      </c>
      <c r="F23" s="37">
        <f t="shared" ref="F23:G25" si="4">E23</f>
        <v>0</v>
      </c>
      <c r="G23" s="44">
        <f t="shared" si="4"/>
        <v>0</v>
      </c>
    </row>
    <row r="24" spans="1:7" ht="15" x14ac:dyDescent="0.25">
      <c r="A24" s="310" t="s">
        <v>316</v>
      </c>
      <c r="B24" s="210"/>
      <c r="C24" s="211">
        <v>532</v>
      </c>
      <c r="D24" s="223" t="s">
        <v>22</v>
      </c>
      <c r="E24" s="37">
        <f>'P1 N a V'!G24</f>
        <v>0</v>
      </c>
      <c r="F24" s="37">
        <f t="shared" si="4"/>
        <v>0</v>
      </c>
      <c r="G24" s="44">
        <f t="shared" si="4"/>
        <v>0</v>
      </c>
    </row>
    <row r="25" spans="1:7" ht="15" x14ac:dyDescent="0.25">
      <c r="A25" s="310" t="s">
        <v>317</v>
      </c>
      <c r="B25" s="210"/>
      <c r="C25" s="211">
        <v>538</v>
      </c>
      <c r="D25" s="213" t="s">
        <v>23</v>
      </c>
      <c r="E25" s="37">
        <f>'P1 N a V'!G25</f>
        <v>0</v>
      </c>
      <c r="F25" s="37">
        <f t="shared" si="4"/>
        <v>0</v>
      </c>
      <c r="G25" s="44">
        <f t="shared" si="4"/>
        <v>0</v>
      </c>
    </row>
    <row r="26" spans="1:7" ht="15" x14ac:dyDescent="0.25">
      <c r="A26" s="209" t="s">
        <v>318</v>
      </c>
      <c r="B26" s="384">
        <v>54</v>
      </c>
      <c r="C26" s="534" t="s">
        <v>24</v>
      </c>
      <c r="D26" s="534"/>
      <c r="E26" s="39">
        <f>SUM(E27:E33)</f>
        <v>140000</v>
      </c>
      <c r="F26" s="39">
        <f>SUM(F27:F33)</f>
        <v>140000</v>
      </c>
      <c r="G26" s="47">
        <f>SUM(G27:G33)</f>
        <v>140000</v>
      </c>
    </row>
    <row r="27" spans="1:7" ht="15" x14ac:dyDescent="0.25">
      <c r="A27" s="310" t="s">
        <v>319</v>
      </c>
      <c r="B27" s="220"/>
      <c r="C27" s="211">
        <v>541</v>
      </c>
      <c r="D27" s="214" t="s">
        <v>25</v>
      </c>
      <c r="E27" s="40">
        <f>'P1 N a V'!G27</f>
        <v>0</v>
      </c>
      <c r="F27" s="40">
        <f t="shared" ref="F27:G33" si="5">E27</f>
        <v>0</v>
      </c>
      <c r="G27" s="48">
        <f t="shared" si="5"/>
        <v>0</v>
      </c>
    </row>
    <row r="28" spans="1:7" ht="15" x14ac:dyDescent="0.25">
      <c r="A28" s="310" t="s">
        <v>320</v>
      </c>
      <c r="B28" s="220"/>
      <c r="C28" s="211">
        <v>542</v>
      </c>
      <c r="D28" s="214" t="s">
        <v>26</v>
      </c>
      <c r="E28" s="40">
        <f>'P1 N a V'!G28</f>
        <v>0</v>
      </c>
      <c r="F28" s="40">
        <f t="shared" si="5"/>
        <v>0</v>
      </c>
      <c r="G28" s="48">
        <f t="shared" si="5"/>
        <v>0</v>
      </c>
    </row>
    <row r="29" spans="1:7" ht="15" x14ac:dyDescent="0.25">
      <c r="A29" s="310" t="s">
        <v>321</v>
      </c>
      <c r="B29" s="220"/>
      <c r="C29" s="211">
        <v>543</v>
      </c>
      <c r="D29" s="214" t="s">
        <v>27</v>
      </c>
      <c r="E29" s="40">
        <f>'P1 N a V'!G29</f>
        <v>0</v>
      </c>
      <c r="F29" s="40">
        <f t="shared" si="5"/>
        <v>0</v>
      </c>
      <c r="G29" s="48">
        <f t="shared" si="5"/>
        <v>0</v>
      </c>
    </row>
    <row r="30" spans="1:7" ht="15" x14ac:dyDescent="0.25">
      <c r="A30" s="310" t="s">
        <v>322</v>
      </c>
      <c r="B30" s="220"/>
      <c r="C30" s="211">
        <v>544</v>
      </c>
      <c r="D30" s="214" t="s">
        <v>28</v>
      </c>
      <c r="E30" s="37">
        <f>'P1 N a V'!G30</f>
        <v>0</v>
      </c>
      <c r="F30" s="37">
        <f t="shared" si="5"/>
        <v>0</v>
      </c>
      <c r="G30" s="44">
        <f t="shared" si="5"/>
        <v>0</v>
      </c>
    </row>
    <row r="31" spans="1:7" ht="15" x14ac:dyDescent="0.25">
      <c r="A31" s="310" t="s">
        <v>323</v>
      </c>
      <c r="B31" s="220"/>
      <c r="C31" s="211">
        <v>547</v>
      </c>
      <c r="D31" s="214" t="s">
        <v>29</v>
      </c>
      <c r="E31" s="37">
        <f>'P1 N a V'!G31</f>
        <v>0</v>
      </c>
      <c r="F31" s="37">
        <f t="shared" si="5"/>
        <v>0</v>
      </c>
      <c r="G31" s="44">
        <f t="shared" si="5"/>
        <v>0</v>
      </c>
    </row>
    <row r="32" spans="1:7" ht="15" x14ac:dyDescent="0.25">
      <c r="A32" s="310" t="s">
        <v>324</v>
      </c>
      <c r="B32" s="220"/>
      <c r="C32" s="211">
        <v>548</v>
      </c>
      <c r="D32" s="214" t="s">
        <v>30</v>
      </c>
      <c r="E32" s="40">
        <f>'P1 N a V'!G32</f>
        <v>0</v>
      </c>
      <c r="F32" s="40">
        <f t="shared" si="5"/>
        <v>0</v>
      </c>
      <c r="G32" s="48">
        <f t="shared" si="5"/>
        <v>0</v>
      </c>
    </row>
    <row r="33" spans="1:7" ht="15" x14ac:dyDescent="0.25">
      <c r="A33" s="310" t="s">
        <v>325</v>
      </c>
      <c r="B33" s="220"/>
      <c r="C33" s="215">
        <v>549</v>
      </c>
      <c r="D33" s="225" t="s">
        <v>31</v>
      </c>
      <c r="E33" s="37">
        <f>'P1 N a V'!G33</f>
        <v>140000</v>
      </c>
      <c r="F33" s="37">
        <f t="shared" si="5"/>
        <v>140000</v>
      </c>
      <c r="G33" s="44">
        <f t="shared" si="5"/>
        <v>140000</v>
      </c>
    </row>
    <row r="34" spans="1:7" ht="15" x14ac:dyDescent="0.25">
      <c r="A34" s="209" t="s">
        <v>326</v>
      </c>
      <c r="B34" s="383">
        <v>55</v>
      </c>
      <c r="C34" s="534" t="s">
        <v>32</v>
      </c>
      <c r="D34" s="534"/>
      <c r="E34" s="38">
        <f>SUM(E35:E42)</f>
        <v>744184</v>
      </c>
      <c r="F34" s="38">
        <f>SUM(F35:F42)</f>
        <v>742607</v>
      </c>
      <c r="G34" s="46">
        <f>SUM(G35:G42)</f>
        <v>737899</v>
      </c>
    </row>
    <row r="35" spans="1:7" ht="15" x14ac:dyDescent="0.25">
      <c r="A35" s="310" t="s">
        <v>327</v>
      </c>
      <c r="B35" s="210"/>
      <c r="C35" s="211">
        <v>551</v>
      </c>
      <c r="D35" s="214" t="s">
        <v>33</v>
      </c>
      <c r="E35" s="37">
        <f>'P1 N a V'!G35</f>
        <v>644184</v>
      </c>
      <c r="F35" s="37">
        <v>642607</v>
      </c>
      <c r="G35" s="44">
        <v>637899</v>
      </c>
    </row>
    <row r="36" spans="1:7" ht="15" x14ac:dyDescent="0.25">
      <c r="A36" s="310" t="s">
        <v>328</v>
      </c>
      <c r="B36" s="220"/>
      <c r="C36" s="211">
        <v>552</v>
      </c>
      <c r="D36" s="214" t="s">
        <v>126</v>
      </c>
      <c r="E36" s="37">
        <f>'P1 N a V'!G36</f>
        <v>0</v>
      </c>
      <c r="F36" s="37">
        <f t="shared" ref="F36:G42" si="6">E36</f>
        <v>0</v>
      </c>
      <c r="G36" s="44">
        <f t="shared" si="6"/>
        <v>0</v>
      </c>
    </row>
    <row r="37" spans="1:7" ht="15" x14ac:dyDescent="0.25">
      <c r="A37" s="310" t="s">
        <v>329</v>
      </c>
      <c r="B37" s="220"/>
      <c r="C37" s="211">
        <v>553</v>
      </c>
      <c r="D37" s="214" t="s">
        <v>127</v>
      </c>
      <c r="E37" s="37">
        <f>'P1 N a V'!G37</f>
        <v>0</v>
      </c>
      <c r="F37" s="37">
        <f t="shared" si="6"/>
        <v>0</v>
      </c>
      <c r="G37" s="44">
        <f t="shared" si="6"/>
        <v>0</v>
      </c>
    </row>
    <row r="38" spans="1:7" ht="15" x14ac:dyDescent="0.25">
      <c r="A38" s="310" t="s">
        <v>330</v>
      </c>
      <c r="B38" s="220"/>
      <c r="C38" s="211">
        <v>554</v>
      </c>
      <c r="D38" s="214" t="s">
        <v>34</v>
      </c>
      <c r="E38" s="37">
        <f>'P1 N a V'!G38</f>
        <v>0</v>
      </c>
      <c r="F38" s="37">
        <f t="shared" si="6"/>
        <v>0</v>
      </c>
      <c r="G38" s="44">
        <f t="shared" si="6"/>
        <v>0</v>
      </c>
    </row>
    <row r="39" spans="1:7" ht="15" x14ac:dyDescent="0.25">
      <c r="A39" s="310" t="s">
        <v>331</v>
      </c>
      <c r="B39" s="220"/>
      <c r="C39" s="211">
        <v>555</v>
      </c>
      <c r="D39" s="214" t="s">
        <v>35</v>
      </c>
      <c r="E39" s="37">
        <f>'P1 N a V'!G39</f>
        <v>0</v>
      </c>
      <c r="F39" s="37">
        <f t="shared" si="6"/>
        <v>0</v>
      </c>
      <c r="G39" s="44">
        <f t="shared" si="6"/>
        <v>0</v>
      </c>
    </row>
    <row r="40" spans="1:7" ht="15" x14ac:dyDescent="0.25">
      <c r="A40" s="310" t="s">
        <v>332</v>
      </c>
      <c r="B40" s="220"/>
      <c r="C40" s="215">
        <v>556</v>
      </c>
      <c r="D40" s="225" t="s">
        <v>36</v>
      </c>
      <c r="E40" s="37">
        <f>'P1 N a V'!G40</f>
        <v>0</v>
      </c>
      <c r="F40" s="37">
        <f t="shared" si="6"/>
        <v>0</v>
      </c>
      <c r="G40" s="44">
        <f t="shared" si="6"/>
        <v>0</v>
      </c>
    </row>
    <row r="41" spans="1:7" ht="15" x14ac:dyDescent="0.25">
      <c r="A41" s="385" t="s">
        <v>333</v>
      </c>
      <c r="B41" s="220"/>
      <c r="C41" s="215">
        <v>557</v>
      </c>
      <c r="D41" s="225" t="s">
        <v>37</v>
      </c>
      <c r="E41" s="37">
        <f>'P1 N a V'!G41</f>
        <v>0</v>
      </c>
      <c r="F41" s="37">
        <f t="shared" si="6"/>
        <v>0</v>
      </c>
      <c r="G41" s="44">
        <f t="shared" si="6"/>
        <v>0</v>
      </c>
    </row>
    <row r="42" spans="1:7" ht="15" x14ac:dyDescent="0.25">
      <c r="A42" s="310" t="s">
        <v>334</v>
      </c>
      <c r="B42" s="220"/>
      <c r="C42" s="215">
        <v>558</v>
      </c>
      <c r="D42" s="225" t="s">
        <v>38</v>
      </c>
      <c r="E42" s="37">
        <f>'P1 N a V'!G42</f>
        <v>100000</v>
      </c>
      <c r="F42" s="37">
        <f t="shared" si="6"/>
        <v>100000</v>
      </c>
      <c r="G42" s="44">
        <f t="shared" si="6"/>
        <v>100000</v>
      </c>
    </row>
    <row r="43" spans="1:7" ht="15" x14ac:dyDescent="0.25">
      <c r="A43" s="209" t="s">
        <v>335</v>
      </c>
      <c r="B43" s="383">
        <v>56</v>
      </c>
      <c r="C43" s="534" t="s">
        <v>39</v>
      </c>
      <c r="D43" s="534"/>
      <c r="E43" s="38">
        <f>SUM(E44:E47)</f>
        <v>0</v>
      </c>
      <c r="F43" s="38">
        <f>SUM(F44:F47)</f>
        <v>0</v>
      </c>
      <c r="G43" s="46">
        <f>SUM(G44:G47)</f>
        <v>0</v>
      </c>
    </row>
    <row r="44" spans="1:7" ht="15" x14ac:dyDescent="0.25">
      <c r="A44" s="310" t="s">
        <v>336</v>
      </c>
      <c r="B44" s="220"/>
      <c r="C44" s="215">
        <v>562</v>
      </c>
      <c r="D44" s="221" t="s">
        <v>40</v>
      </c>
      <c r="E44" s="37">
        <f>'P1 N a V'!G44</f>
        <v>0</v>
      </c>
      <c r="F44" s="37">
        <f t="shared" ref="F44:G47" si="7">E44</f>
        <v>0</v>
      </c>
      <c r="G44" s="44">
        <f t="shared" si="7"/>
        <v>0</v>
      </c>
    </row>
    <row r="45" spans="1:7" ht="15" x14ac:dyDescent="0.25">
      <c r="A45" s="310" t="s">
        <v>337</v>
      </c>
      <c r="B45" s="220"/>
      <c r="C45" s="215">
        <v>563</v>
      </c>
      <c r="D45" s="221" t="s">
        <v>41</v>
      </c>
      <c r="E45" s="37">
        <f>'P1 N a V'!G45</f>
        <v>0</v>
      </c>
      <c r="F45" s="37">
        <f t="shared" si="7"/>
        <v>0</v>
      </c>
      <c r="G45" s="44">
        <f t="shared" si="7"/>
        <v>0</v>
      </c>
    </row>
    <row r="46" spans="1:7" ht="15" x14ac:dyDescent="0.25">
      <c r="A46" s="310" t="s">
        <v>338</v>
      </c>
      <c r="B46" s="220"/>
      <c r="C46" s="215">
        <v>564</v>
      </c>
      <c r="D46" s="221" t="s">
        <v>42</v>
      </c>
      <c r="E46" s="37">
        <f>'P1 N a V'!G46</f>
        <v>0</v>
      </c>
      <c r="F46" s="37">
        <f t="shared" si="7"/>
        <v>0</v>
      </c>
      <c r="G46" s="44">
        <f t="shared" si="7"/>
        <v>0</v>
      </c>
    </row>
    <row r="47" spans="1:7" ht="15" x14ac:dyDescent="0.25">
      <c r="A47" s="310" t="s">
        <v>339</v>
      </c>
      <c r="B47" s="220"/>
      <c r="C47" s="215">
        <v>569</v>
      </c>
      <c r="D47" s="221" t="s">
        <v>43</v>
      </c>
      <c r="E47" s="37">
        <f>'P1 N a V'!G47</f>
        <v>0</v>
      </c>
      <c r="F47" s="37">
        <f t="shared" si="7"/>
        <v>0</v>
      </c>
      <c r="G47" s="44">
        <f t="shared" si="7"/>
        <v>0</v>
      </c>
    </row>
    <row r="48" spans="1:7" ht="15" x14ac:dyDescent="0.25">
      <c r="A48" s="209" t="s">
        <v>340</v>
      </c>
      <c r="B48" s="383">
        <v>57</v>
      </c>
      <c r="C48" s="534" t="s">
        <v>129</v>
      </c>
      <c r="D48" s="534"/>
      <c r="E48" s="38">
        <f>SUM(E49:E51)</f>
        <v>0</v>
      </c>
      <c r="F48" s="38">
        <f>SUM(F49:F51)</f>
        <v>0</v>
      </c>
      <c r="G48" s="46">
        <f>SUM(G49:G51)</f>
        <v>0</v>
      </c>
    </row>
    <row r="49" spans="1:7" ht="15" x14ac:dyDescent="0.25">
      <c r="A49" s="310" t="s">
        <v>341</v>
      </c>
      <c r="B49" s="220"/>
      <c r="C49" s="215">
        <v>571</v>
      </c>
      <c r="D49" s="221" t="s">
        <v>44</v>
      </c>
      <c r="E49" s="37">
        <f>'P1 N a V'!G49</f>
        <v>0</v>
      </c>
      <c r="F49" s="37">
        <f t="shared" ref="F49:G51" si="8">E49</f>
        <v>0</v>
      </c>
      <c r="G49" s="44">
        <f t="shared" si="8"/>
        <v>0</v>
      </c>
    </row>
    <row r="50" spans="1:7" ht="15" x14ac:dyDescent="0.25">
      <c r="A50" s="310" t="s">
        <v>342</v>
      </c>
      <c r="B50" s="220"/>
      <c r="C50" s="215">
        <v>572</v>
      </c>
      <c r="D50" s="221" t="s">
        <v>128</v>
      </c>
      <c r="E50" s="37">
        <f>'P1 N a V'!G50</f>
        <v>0</v>
      </c>
      <c r="F50" s="37">
        <f t="shared" si="8"/>
        <v>0</v>
      </c>
      <c r="G50" s="44">
        <f t="shared" si="8"/>
        <v>0</v>
      </c>
    </row>
    <row r="51" spans="1:7" ht="15" x14ac:dyDescent="0.25">
      <c r="A51" s="310" t="s">
        <v>343</v>
      </c>
      <c r="B51" s="220"/>
      <c r="C51" s="215">
        <v>574</v>
      </c>
      <c r="D51" s="221" t="s">
        <v>45</v>
      </c>
      <c r="E51" s="37">
        <f>'P1 N a V'!G51</f>
        <v>0</v>
      </c>
      <c r="F51" s="37">
        <f t="shared" si="8"/>
        <v>0</v>
      </c>
      <c r="G51" s="44">
        <f t="shared" si="8"/>
        <v>0</v>
      </c>
    </row>
    <row r="52" spans="1:7" ht="15" x14ac:dyDescent="0.25">
      <c r="A52" s="209" t="s">
        <v>344</v>
      </c>
      <c r="B52" s="383">
        <v>59</v>
      </c>
      <c r="C52" s="534" t="s">
        <v>46</v>
      </c>
      <c r="D52" s="465"/>
      <c r="E52" s="38">
        <f>SUM(E53:E54)</f>
        <v>0</v>
      </c>
      <c r="F52" s="38">
        <f>SUM(F53:F54)</f>
        <v>0</v>
      </c>
      <c r="G52" s="46">
        <f>SUM(G53:G54)</f>
        <v>0</v>
      </c>
    </row>
    <row r="53" spans="1:7" ht="15" x14ac:dyDescent="0.25">
      <c r="A53" s="310" t="s">
        <v>345</v>
      </c>
      <c r="B53" s="225"/>
      <c r="C53" s="211">
        <v>591</v>
      </c>
      <c r="D53" s="213" t="s">
        <v>47</v>
      </c>
      <c r="E53" s="37">
        <f>'P1 N a V'!G53</f>
        <v>0</v>
      </c>
      <c r="F53" s="37">
        <f t="shared" ref="F53:G54" si="9">E53</f>
        <v>0</v>
      </c>
      <c r="G53" s="44">
        <f t="shared" si="9"/>
        <v>0</v>
      </c>
    </row>
    <row r="54" spans="1:7" ht="15.75" thickBot="1" x14ac:dyDescent="0.3">
      <c r="A54" s="316" t="s">
        <v>346</v>
      </c>
      <c r="B54" s="386"/>
      <c r="C54" s="229">
        <v>595</v>
      </c>
      <c r="D54" s="230" t="s">
        <v>48</v>
      </c>
      <c r="E54" s="198">
        <f>'P1 N a V'!G54</f>
        <v>0</v>
      </c>
      <c r="F54" s="198">
        <f t="shared" si="9"/>
        <v>0</v>
      </c>
      <c r="G54" s="158">
        <f t="shared" si="9"/>
        <v>0</v>
      </c>
    </row>
    <row r="55" spans="1:7" ht="15.75" thickBot="1" x14ac:dyDescent="0.3">
      <c r="A55" s="204" t="s">
        <v>347</v>
      </c>
      <c r="B55" s="535" t="s">
        <v>433</v>
      </c>
      <c r="C55" s="467"/>
      <c r="D55" s="467"/>
      <c r="E55" s="42">
        <f>E56+E62+E67+E72+E82+E87</f>
        <v>50716893</v>
      </c>
      <c r="F55" s="42">
        <f t="shared" ref="F55:G55" si="10">F56+F62+F67+F72+F82+F87</f>
        <v>50994716</v>
      </c>
      <c r="G55" s="50">
        <f t="shared" si="10"/>
        <v>50990008</v>
      </c>
    </row>
    <row r="56" spans="1:7" ht="15" x14ac:dyDescent="0.25">
      <c r="A56" s="209" t="s">
        <v>348</v>
      </c>
      <c r="B56" s="382">
        <v>60</v>
      </c>
      <c r="C56" s="536" t="s">
        <v>49</v>
      </c>
      <c r="D56" s="536"/>
      <c r="E56" s="36">
        <f>SUM(E57:E61)</f>
        <v>9128000</v>
      </c>
      <c r="F56" s="36">
        <f>SUM(F57:F61)</f>
        <v>9100000</v>
      </c>
      <c r="G56" s="43">
        <f>SUM(G57:G61)</f>
        <v>9100000</v>
      </c>
    </row>
    <row r="57" spans="1:7" ht="15" x14ac:dyDescent="0.25">
      <c r="A57" s="310" t="s">
        <v>349</v>
      </c>
      <c r="B57" s="220"/>
      <c r="C57" s="211">
        <v>601</v>
      </c>
      <c r="D57" s="214" t="s">
        <v>50</v>
      </c>
      <c r="E57" s="37">
        <f>'P1 N a V'!G57</f>
        <v>0</v>
      </c>
      <c r="F57" s="37">
        <f t="shared" ref="F57:G61" si="11">E57</f>
        <v>0</v>
      </c>
      <c r="G57" s="44">
        <f t="shared" si="11"/>
        <v>0</v>
      </c>
    </row>
    <row r="58" spans="1:7" ht="15" x14ac:dyDescent="0.25">
      <c r="A58" s="310" t="s">
        <v>350</v>
      </c>
      <c r="B58" s="220"/>
      <c r="C58" s="211">
        <v>602</v>
      </c>
      <c r="D58" s="214" t="s">
        <v>51</v>
      </c>
      <c r="E58" s="37">
        <f>'P1 N a V'!G58</f>
        <v>9128000</v>
      </c>
      <c r="F58" s="37">
        <v>9100000</v>
      </c>
      <c r="G58" s="44">
        <f t="shared" si="11"/>
        <v>9100000</v>
      </c>
    </row>
    <row r="59" spans="1:7" ht="15" x14ac:dyDescent="0.25">
      <c r="A59" s="310" t="s">
        <v>351</v>
      </c>
      <c r="B59" s="220"/>
      <c r="C59" s="215">
        <v>603</v>
      </c>
      <c r="D59" s="225" t="s">
        <v>52</v>
      </c>
      <c r="E59" s="37">
        <f>'P1 N a V'!G59</f>
        <v>0</v>
      </c>
      <c r="F59" s="37">
        <f t="shared" si="11"/>
        <v>0</v>
      </c>
      <c r="G59" s="44">
        <f t="shared" si="11"/>
        <v>0</v>
      </c>
    </row>
    <row r="60" spans="1:7" ht="15" x14ac:dyDescent="0.25">
      <c r="A60" s="310" t="s">
        <v>352</v>
      </c>
      <c r="B60" s="220"/>
      <c r="C60" s="215">
        <v>604</v>
      </c>
      <c r="D60" s="225" t="s">
        <v>53</v>
      </c>
      <c r="E60" s="37">
        <f>'P1 N a V'!G60</f>
        <v>0</v>
      </c>
      <c r="F60" s="37">
        <f t="shared" si="11"/>
        <v>0</v>
      </c>
      <c r="G60" s="44">
        <f t="shared" si="11"/>
        <v>0</v>
      </c>
    </row>
    <row r="61" spans="1:7" ht="15" x14ac:dyDescent="0.25">
      <c r="A61" s="310" t="s">
        <v>353</v>
      </c>
      <c r="B61" s="220"/>
      <c r="C61" s="215">
        <v>608</v>
      </c>
      <c r="D61" s="225" t="s">
        <v>54</v>
      </c>
      <c r="E61" s="37">
        <f>'P1 N a V'!G61</f>
        <v>0</v>
      </c>
      <c r="F61" s="37">
        <f t="shared" si="11"/>
        <v>0</v>
      </c>
      <c r="G61" s="44">
        <f t="shared" si="11"/>
        <v>0</v>
      </c>
    </row>
    <row r="62" spans="1:7" ht="15" x14ac:dyDescent="0.25">
      <c r="A62" s="209" t="s">
        <v>354</v>
      </c>
      <c r="B62" s="383">
        <v>61</v>
      </c>
      <c r="C62" s="534" t="s">
        <v>55</v>
      </c>
      <c r="D62" s="534"/>
      <c r="E62" s="38">
        <f t="shared" ref="E62" si="12">SUM(E63:E66)</f>
        <v>0</v>
      </c>
      <c r="F62" s="38">
        <f>SUM(F63:F66)</f>
        <v>0</v>
      </c>
      <c r="G62" s="46">
        <f>SUM(G63:G66)</f>
        <v>0</v>
      </c>
    </row>
    <row r="63" spans="1:7" ht="15" x14ac:dyDescent="0.25">
      <c r="A63" s="310" t="s">
        <v>355</v>
      </c>
      <c r="B63" s="220"/>
      <c r="C63" s="211">
        <v>611</v>
      </c>
      <c r="D63" s="214" t="s">
        <v>56</v>
      </c>
      <c r="E63" s="37">
        <f>'P1 N a V'!G63</f>
        <v>0</v>
      </c>
      <c r="F63" s="37">
        <f t="shared" ref="F63:G66" si="13">E63</f>
        <v>0</v>
      </c>
      <c r="G63" s="44">
        <f t="shared" si="13"/>
        <v>0</v>
      </c>
    </row>
    <row r="64" spans="1:7" ht="15" x14ac:dyDescent="0.25">
      <c r="A64" s="310" t="s">
        <v>356</v>
      </c>
      <c r="B64" s="220"/>
      <c r="C64" s="211">
        <v>612</v>
      </c>
      <c r="D64" s="214" t="s">
        <v>57</v>
      </c>
      <c r="E64" s="37">
        <f>'P1 N a V'!G64</f>
        <v>0</v>
      </c>
      <c r="F64" s="37">
        <f t="shared" si="13"/>
        <v>0</v>
      </c>
      <c r="G64" s="44">
        <f t="shared" si="13"/>
        <v>0</v>
      </c>
    </row>
    <row r="65" spans="1:7" ht="15" x14ac:dyDescent="0.25">
      <c r="A65" s="310" t="s">
        <v>357</v>
      </c>
      <c r="B65" s="220"/>
      <c r="C65" s="211">
        <v>613</v>
      </c>
      <c r="D65" s="214" t="s">
        <v>58</v>
      </c>
      <c r="E65" s="37">
        <f>'P1 N a V'!G65</f>
        <v>0</v>
      </c>
      <c r="F65" s="37">
        <f t="shared" si="13"/>
        <v>0</v>
      </c>
      <c r="G65" s="44">
        <f t="shared" si="13"/>
        <v>0</v>
      </c>
    </row>
    <row r="66" spans="1:7" ht="15" x14ac:dyDescent="0.25">
      <c r="A66" s="310" t="s">
        <v>358</v>
      </c>
      <c r="B66" s="220"/>
      <c r="C66" s="215">
        <v>614</v>
      </c>
      <c r="D66" s="225" t="s">
        <v>59</v>
      </c>
      <c r="E66" s="37">
        <f>'P1 N a V'!G66</f>
        <v>0</v>
      </c>
      <c r="F66" s="37">
        <f t="shared" si="13"/>
        <v>0</v>
      </c>
      <c r="G66" s="44">
        <f t="shared" si="13"/>
        <v>0</v>
      </c>
    </row>
    <row r="67" spans="1:7" ht="15" x14ac:dyDescent="0.25">
      <c r="A67" s="209" t="s">
        <v>359</v>
      </c>
      <c r="B67" s="383">
        <v>62</v>
      </c>
      <c r="C67" s="534" t="s">
        <v>60</v>
      </c>
      <c r="D67" s="534"/>
      <c r="E67" s="38">
        <f>SUM(E68:E71)</f>
        <v>0</v>
      </c>
      <c r="F67" s="38">
        <f>SUM(F68:F71)</f>
        <v>0</v>
      </c>
      <c r="G67" s="46">
        <f>SUM(G68:G71)</f>
        <v>0</v>
      </c>
    </row>
    <row r="68" spans="1:7" ht="15" x14ac:dyDescent="0.25">
      <c r="A68" s="310" t="s">
        <v>360</v>
      </c>
      <c r="B68" s="220"/>
      <c r="C68" s="211">
        <v>621</v>
      </c>
      <c r="D68" s="214" t="s">
        <v>61</v>
      </c>
      <c r="E68" s="37">
        <f>'P1 N a V'!G68</f>
        <v>0</v>
      </c>
      <c r="F68" s="37">
        <f t="shared" ref="F68:G71" si="14">E68</f>
        <v>0</v>
      </c>
      <c r="G68" s="44">
        <f t="shared" si="14"/>
        <v>0</v>
      </c>
    </row>
    <row r="69" spans="1:7" ht="15" x14ac:dyDescent="0.25">
      <c r="A69" s="310" t="s">
        <v>361</v>
      </c>
      <c r="B69" s="220"/>
      <c r="C69" s="211">
        <v>622</v>
      </c>
      <c r="D69" s="214" t="s">
        <v>62</v>
      </c>
      <c r="E69" s="37">
        <f>'P1 N a V'!G69</f>
        <v>0</v>
      </c>
      <c r="F69" s="37">
        <f t="shared" si="14"/>
        <v>0</v>
      </c>
      <c r="G69" s="44">
        <f t="shared" si="14"/>
        <v>0</v>
      </c>
    </row>
    <row r="70" spans="1:7" ht="15" x14ac:dyDescent="0.25">
      <c r="A70" s="310" t="s">
        <v>362</v>
      </c>
      <c r="B70" s="220"/>
      <c r="C70" s="211">
        <v>623</v>
      </c>
      <c r="D70" s="214" t="s">
        <v>63</v>
      </c>
      <c r="E70" s="37">
        <f>'P1 N a V'!G70</f>
        <v>0</v>
      </c>
      <c r="F70" s="37">
        <f t="shared" si="14"/>
        <v>0</v>
      </c>
      <c r="G70" s="44">
        <f t="shared" si="14"/>
        <v>0</v>
      </c>
    </row>
    <row r="71" spans="1:7" ht="15" x14ac:dyDescent="0.25">
      <c r="A71" s="310" t="s">
        <v>363</v>
      </c>
      <c r="B71" s="220"/>
      <c r="C71" s="215">
        <v>624</v>
      </c>
      <c r="D71" s="225" t="s">
        <v>64</v>
      </c>
      <c r="E71" s="37">
        <f>'P1 N a V'!G71</f>
        <v>0</v>
      </c>
      <c r="F71" s="37">
        <f t="shared" si="14"/>
        <v>0</v>
      </c>
      <c r="G71" s="44">
        <f t="shared" si="14"/>
        <v>0</v>
      </c>
    </row>
    <row r="72" spans="1:7" ht="15" x14ac:dyDescent="0.25">
      <c r="A72" s="209" t="s">
        <v>364</v>
      </c>
      <c r="B72" s="383">
        <v>64</v>
      </c>
      <c r="C72" s="534" t="s">
        <v>65</v>
      </c>
      <c r="D72" s="534"/>
      <c r="E72" s="38">
        <f>SUM(E73:E81)</f>
        <v>1650000</v>
      </c>
      <c r="F72" s="38">
        <f>SUM(F73:F81)</f>
        <v>1600000</v>
      </c>
      <c r="G72" s="46">
        <f>SUM(G73:G81)</f>
        <v>1600000</v>
      </c>
    </row>
    <row r="73" spans="1:7" ht="15" x14ac:dyDescent="0.25">
      <c r="A73" s="310" t="s">
        <v>365</v>
      </c>
      <c r="B73" s="220"/>
      <c r="C73" s="211">
        <v>641</v>
      </c>
      <c r="D73" s="214" t="s">
        <v>25</v>
      </c>
      <c r="E73" s="40">
        <f>'P1 N a V'!G73</f>
        <v>0</v>
      </c>
      <c r="F73" s="40">
        <f t="shared" ref="F73:G81" si="15">E73</f>
        <v>0</v>
      </c>
      <c r="G73" s="48">
        <f t="shared" si="15"/>
        <v>0</v>
      </c>
    </row>
    <row r="74" spans="1:7" ht="15" x14ac:dyDescent="0.25">
      <c r="A74" s="310" t="s">
        <v>366</v>
      </c>
      <c r="B74" s="220"/>
      <c r="C74" s="211">
        <v>642</v>
      </c>
      <c r="D74" s="214" t="s">
        <v>26</v>
      </c>
      <c r="E74" s="40">
        <f>'P1 N a V'!G74</f>
        <v>0</v>
      </c>
      <c r="F74" s="40">
        <f t="shared" si="15"/>
        <v>0</v>
      </c>
      <c r="G74" s="48">
        <f t="shared" si="15"/>
        <v>0</v>
      </c>
    </row>
    <row r="75" spans="1:7" ht="15" x14ac:dyDescent="0.25">
      <c r="A75" s="310" t="s">
        <v>367</v>
      </c>
      <c r="B75" s="220"/>
      <c r="C75" s="211">
        <v>643</v>
      </c>
      <c r="D75" s="214" t="s">
        <v>66</v>
      </c>
      <c r="E75" s="40">
        <f>'P1 N a V'!G75</f>
        <v>0</v>
      </c>
      <c r="F75" s="40">
        <f t="shared" si="15"/>
        <v>0</v>
      </c>
      <c r="G75" s="48">
        <f t="shared" si="15"/>
        <v>0</v>
      </c>
    </row>
    <row r="76" spans="1:7" ht="15" x14ac:dyDescent="0.25">
      <c r="A76" s="310" t="s">
        <v>368</v>
      </c>
      <c r="B76" s="220"/>
      <c r="C76" s="211">
        <v>644</v>
      </c>
      <c r="D76" s="213" t="s">
        <v>67</v>
      </c>
      <c r="E76" s="37">
        <f>'P1 N a V'!G76</f>
        <v>0</v>
      </c>
      <c r="F76" s="37">
        <f t="shared" si="15"/>
        <v>0</v>
      </c>
      <c r="G76" s="44">
        <f t="shared" si="15"/>
        <v>0</v>
      </c>
    </row>
    <row r="77" spans="1:7" ht="15" x14ac:dyDescent="0.25">
      <c r="A77" s="305" t="s">
        <v>369</v>
      </c>
      <c r="B77" s="220"/>
      <c r="C77" s="211">
        <v>645</v>
      </c>
      <c r="D77" s="213" t="s">
        <v>124</v>
      </c>
      <c r="E77" s="37">
        <f>'P1 N a V'!G77</f>
        <v>0</v>
      </c>
      <c r="F77" s="37">
        <f t="shared" si="15"/>
        <v>0</v>
      </c>
      <c r="G77" s="44">
        <f t="shared" si="15"/>
        <v>0</v>
      </c>
    </row>
    <row r="78" spans="1:7" ht="15" x14ac:dyDescent="0.25">
      <c r="A78" s="310" t="s">
        <v>370</v>
      </c>
      <c r="B78" s="220"/>
      <c r="C78" s="211">
        <v>646</v>
      </c>
      <c r="D78" s="213" t="s">
        <v>123</v>
      </c>
      <c r="E78" s="37">
        <f>'P1 N a V'!G78</f>
        <v>0</v>
      </c>
      <c r="F78" s="37">
        <f t="shared" si="15"/>
        <v>0</v>
      </c>
      <c r="G78" s="44">
        <f t="shared" si="15"/>
        <v>0</v>
      </c>
    </row>
    <row r="79" spans="1:7" ht="15" x14ac:dyDescent="0.25">
      <c r="A79" s="310" t="s">
        <v>371</v>
      </c>
      <c r="B79" s="220"/>
      <c r="C79" s="211">
        <v>647</v>
      </c>
      <c r="D79" s="213" t="s">
        <v>68</v>
      </c>
      <c r="E79" s="37">
        <f>'P1 N a V'!G79</f>
        <v>0</v>
      </c>
      <c r="F79" s="37">
        <f t="shared" si="15"/>
        <v>0</v>
      </c>
      <c r="G79" s="44">
        <f t="shared" si="15"/>
        <v>0</v>
      </c>
    </row>
    <row r="80" spans="1:7" ht="15" x14ac:dyDescent="0.25">
      <c r="A80" s="310" t="s">
        <v>372</v>
      </c>
      <c r="B80" s="220"/>
      <c r="C80" s="211">
        <v>648</v>
      </c>
      <c r="D80" s="213" t="s">
        <v>69</v>
      </c>
      <c r="E80" s="37">
        <f>'P1 N a V'!G80</f>
        <v>300000</v>
      </c>
      <c r="F80" s="37">
        <v>250000</v>
      </c>
      <c r="G80" s="44">
        <f t="shared" si="15"/>
        <v>250000</v>
      </c>
    </row>
    <row r="81" spans="1:7" ht="15" x14ac:dyDescent="0.25">
      <c r="A81" s="310" t="s">
        <v>373</v>
      </c>
      <c r="B81" s="220"/>
      <c r="C81" s="215">
        <v>649</v>
      </c>
      <c r="D81" s="221" t="s">
        <v>70</v>
      </c>
      <c r="E81" s="37">
        <f>'P1 N a V'!G81</f>
        <v>1350000</v>
      </c>
      <c r="F81" s="37">
        <f t="shared" si="15"/>
        <v>1350000</v>
      </c>
      <c r="G81" s="44">
        <f t="shared" si="15"/>
        <v>1350000</v>
      </c>
    </row>
    <row r="82" spans="1:7" ht="15" x14ac:dyDescent="0.25">
      <c r="A82" s="209" t="s">
        <v>374</v>
      </c>
      <c r="B82" s="383">
        <v>66</v>
      </c>
      <c r="C82" s="534" t="s">
        <v>71</v>
      </c>
      <c r="D82" s="534"/>
      <c r="E82" s="38">
        <f>SUM(E83:E86)</f>
        <v>216000</v>
      </c>
      <c r="F82" s="38">
        <f>SUM(F83:F86)</f>
        <v>216000</v>
      </c>
      <c r="G82" s="46">
        <f>SUM(G83:G86)</f>
        <v>216000</v>
      </c>
    </row>
    <row r="83" spans="1:7" ht="15" x14ac:dyDescent="0.25">
      <c r="A83" s="310" t="s">
        <v>375</v>
      </c>
      <c r="B83" s="220"/>
      <c r="C83" s="211">
        <v>662</v>
      </c>
      <c r="D83" s="214" t="s">
        <v>40</v>
      </c>
      <c r="E83" s="37">
        <f>'P1 N a V'!G83</f>
        <v>216000</v>
      </c>
      <c r="F83" s="37">
        <f t="shared" ref="F83:G86" si="16">E83</f>
        <v>216000</v>
      </c>
      <c r="G83" s="44">
        <f t="shared" si="16"/>
        <v>216000</v>
      </c>
    </row>
    <row r="84" spans="1:7" ht="15" x14ac:dyDescent="0.25">
      <c r="A84" s="310" t="s">
        <v>376</v>
      </c>
      <c r="B84" s="220"/>
      <c r="C84" s="211">
        <v>663</v>
      </c>
      <c r="D84" s="214" t="s">
        <v>72</v>
      </c>
      <c r="E84" s="37">
        <f>'P1 N a V'!G84</f>
        <v>0</v>
      </c>
      <c r="F84" s="37">
        <f t="shared" si="16"/>
        <v>0</v>
      </c>
      <c r="G84" s="44">
        <f t="shared" si="16"/>
        <v>0</v>
      </c>
    </row>
    <row r="85" spans="1:7" ht="15" x14ac:dyDescent="0.25">
      <c r="A85" s="310" t="s">
        <v>377</v>
      </c>
      <c r="B85" s="220"/>
      <c r="C85" s="211">
        <v>664</v>
      </c>
      <c r="D85" s="214" t="s">
        <v>73</v>
      </c>
      <c r="E85" s="37">
        <f>'P1 N a V'!G85</f>
        <v>0</v>
      </c>
      <c r="F85" s="37">
        <f t="shared" si="16"/>
        <v>0</v>
      </c>
      <c r="G85" s="44">
        <f t="shared" si="16"/>
        <v>0</v>
      </c>
    </row>
    <row r="86" spans="1:7" ht="15" x14ac:dyDescent="0.25">
      <c r="A86" s="310" t="s">
        <v>378</v>
      </c>
      <c r="B86" s="220"/>
      <c r="C86" s="211">
        <v>669</v>
      </c>
      <c r="D86" s="214" t="s">
        <v>74</v>
      </c>
      <c r="E86" s="37">
        <f>'P1 N a V'!G86</f>
        <v>0</v>
      </c>
      <c r="F86" s="37">
        <f t="shared" si="16"/>
        <v>0</v>
      </c>
      <c r="G86" s="44">
        <f t="shared" si="16"/>
        <v>0</v>
      </c>
    </row>
    <row r="87" spans="1:7" ht="15" x14ac:dyDescent="0.25">
      <c r="A87" s="209" t="s">
        <v>379</v>
      </c>
      <c r="B87" s="383">
        <v>67</v>
      </c>
      <c r="C87" s="534" t="s">
        <v>139</v>
      </c>
      <c r="D87" s="534"/>
      <c r="E87" s="38">
        <f>SUM(E88:E92)</f>
        <v>39722893</v>
      </c>
      <c r="F87" s="38">
        <f>SUM(F88:F92)</f>
        <v>40078716</v>
      </c>
      <c r="G87" s="46">
        <f>SUM(G88:G92)</f>
        <v>40074008</v>
      </c>
    </row>
    <row r="88" spans="1:7" ht="15" x14ac:dyDescent="0.25">
      <c r="A88" s="310" t="s">
        <v>380</v>
      </c>
      <c r="B88" s="220"/>
      <c r="C88" s="211">
        <v>672</v>
      </c>
      <c r="D88" s="214" t="s">
        <v>205</v>
      </c>
      <c r="E88" s="37">
        <f>'P1 N a V'!G88</f>
        <v>18096000</v>
      </c>
      <c r="F88" s="37">
        <v>22429563</v>
      </c>
      <c r="G88" s="44">
        <v>23748937</v>
      </c>
    </row>
    <row r="89" spans="1:7" ht="15" x14ac:dyDescent="0.25">
      <c r="A89" s="385" t="s">
        <v>381</v>
      </c>
      <c r="B89" s="220"/>
      <c r="C89" s="215">
        <v>672</v>
      </c>
      <c r="D89" s="226" t="s">
        <v>142</v>
      </c>
      <c r="E89" s="41">
        <f>'P1 N a V'!G89</f>
        <v>15983130</v>
      </c>
      <c r="F89" s="41">
        <f t="shared" ref="F89:G92" si="17">E89</f>
        <v>15983130</v>
      </c>
      <c r="G89" s="49">
        <f>F89</f>
        <v>15983130</v>
      </c>
    </row>
    <row r="90" spans="1:7" ht="15" x14ac:dyDescent="0.25">
      <c r="A90" s="385" t="s">
        <v>382</v>
      </c>
      <c r="B90" s="220"/>
      <c r="C90" s="215">
        <v>672</v>
      </c>
      <c r="D90" s="226" t="s">
        <v>143</v>
      </c>
      <c r="E90" s="41">
        <f>'P1 N a V'!G90</f>
        <v>0</v>
      </c>
      <c r="F90" s="41">
        <v>0</v>
      </c>
      <c r="G90" s="49">
        <f t="shared" si="17"/>
        <v>0</v>
      </c>
    </row>
    <row r="91" spans="1:7" ht="15" x14ac:dyDescent="0.25">
      <c r="A91" s="385" t="s">
        <v>383</v>
      </c>
      <c r="B91" s="220"/>
      <c r="C91" s="215">
        <v>672</v>
      </c>
      <c r="D91" s="226" t="s">
        <v>144</v>
      </c>
      <c r="E91" s="41">
        <f>'P1 N a V'!G91</f>
        <v>5301822</v>
      </c>
      <c r="F91" s="41">
        <v>1324082</v>
      </c>
      <c r="G91" s="49">
        <v>0</v>
      </c>
    </row>
    <row r="92" spans="1:7" ht="15.75" thickBot="1" x14ac:dyDescent="0.3">
      <c r="A92" s="316" t="s">
        <v>384</v>
      </c>
      <c r="B92" s="220"/>
      <c r="C92" s="215">
        <v>674</v>
      </c>
      <c r="D92" s="226" t="s">
        <v>125</v>
      </c>
      <c r="E92" s="41">
        <f>'P1 N a V'!G92</f>
        <v>341941</v>
      </c>
      <c r="F92" s="41">
        <f t="shared" si="17"/>
        <v>341941</v>
      </c>
      <c r="G92" s="49">
        <f t="shared" si="17"/>
        <v>341941</v>
      </c>
    </row>
    <row r="93" spans="1:7" ht="15.75" thickBot="1" x14ac:dyDescent="0.3">
      <c r="A93" s="204" t="s">
        <v>385</v>
      </c>
      <c r="B93" s="387" t="s">
        <v>138</v>
      </c>
      <c r="C93" s="232"/>
      <c r="D93" s="233"/>
      <c r="E93" s="42">
        <f>E55-E5</f>
        <v>0</v>
      </c>
      <c r="F93" s="42">
        <f t="shared" ref="F93:G93" si="18">F55-F5</f>
        <v>0</v>
      </c>
      <c r="G93" s="50">
        <f t="shared" si="18"/>
        <v>0</v>
      </c>
    </row>
  </sheetData>
  <sheetProtection algorithmName="SHA-512" hashValue="6eLzf0zJFulJYmEuogCh9Zxz8EzATufujifPNvV/gU25Q/6HEJRmLJUiof5/RSCaYZh68C/8B3KXyu4ykRuhbA==" saltValue="suuxs6RHZwnGSLWqEEw3sQ==" spinCount="100000" sheet="1" selectLockedCells="1"/>
  <mergeCells count="18">
    <mergeCell ref="A1:G1"/>
    <mergeCell ref="A2:G2"/>
    <mergeCell ref="C67:D67"/>
    <mergeCell ref="C72:D72"/>
    <mergeCell ref="C82:D82"/>
    <mergeCell ref="C34:D34"/>
    <mergeCell ref="B5:D5"/>
    <mergeCell ref="C11:D11"/>
    <mergeCell ref="C16:D16"/>
    <mergeCell ref="C22:D22"/>
    <mergeCell ref="C26:D26"/>
    <mergeCell ref="C87:D87"/>
    <mergeCell ref="C43:D43"/>
    <mergeCell ref="C48:D48"/>
    <mergeCell ref="C52:D52"/>
    <mergeCell ref="B55:D55"/>
    <mergeCell ref="C56:D56"/>
    <mergeCell ref="C62:D62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1" fitToHeight="2" orientation="portrait" r:id="rId1"/>
  <headerFooter>
    <oddHeader>&amp;R&amp;"Arial CE,Tučné"P6</oddHead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3"/>
  <sheetViews>
    <sheetView showGridLines="0" topLeftCell="A54" zoomScaleNormal="100" zoomScaleSheetLayoutView="100" workbookViewId="0">
      <selection activeCell="A24" sqref="A24"/>
    </sheetView>
  </sheetViews>
  <sheetFormatPr defaultRowHeight="12.75" x14ac:dyDescent="0.2"/>
  <cols>
    <col min="1" max="1" width="7" customWidth="1"/>
    <col min="2" max="2" width="5.42578125" customWidth="1"/>
    <col min="3" max="3" width="6.5703125" customWidth="1"/>
    <col min="4" max="4" width="39.85546875" customWidth="1"/>
    <col min="5" max="6" width="14.28515625" style="10" customWidth="1"/>
    <col min="7" max="7" width="16" style="10" customWidth="1"/>
  </cols>
  <sheetData>
    <row r="1" spans="1:12" ht="16.5" customHeight="1" x14ac:dyDescent="0.2">
      <c r="A1" s="463" t="s">
        <v>292</v>
      </c>
      <c r="B1" s="463"/>
      <c r="C1" s="463"/>
      <c r="D1" s="463"/>
      <c r="E1" s="463"/>
      <c r="F1" s="463"/>
      <c r="G1" s="463"/>
      <c r="H1" s="7"/>
      <c r="I1" s="7"/>
      <c r="J1" s="7"/>
      <c r="K1" s="7"/>
      <c r="L1" s="7"/>
    </row>
    <row r="2" spans="1:12" ht="16.5" customHeight="1" x14ac:dyDescent="0.3">
      <c r="A2" s="464" t="str">
        <f>Úvod!Doplňte_název_organizace</f>
        <v>Domov Raspenava, příspěvková organizace</v>
      </c>
      <c r="B2" s="464"/>
      <c r="C2" s="464"/>
      <c r="D2" s="464"/>
      <c r="E2" s="464"/>
      <c r="F2" s="464"/>
      <c r="G2" s="464"/>
      <c r="H2" s="7"/>
      <c r="I2" s="7"/>
      <c r="J2" s="7"/>
      <c r="K2" s="7"/>
      <c r="L2" s="7"/>
    </row>
    <row r="3" spans="1:12" s="139" customFormat="1" ht="16.5" customHeight="1" thickBot="1" x14ac:dyDescent="0.3">
      <c r="A3" s="469"/>
      <c r="B3" s="469"/>
      <c r="C3" s="469"/>
      <c r="D3" s="469"/>
      <c r="E3" s="469"/>
      <c r="F3" s="469"/>
      <c r="G3" s="469"/>
      <c r="H3" s="138"/>
      <c r="I3" s="138"/>
      <c r="J3" s="138"/>
      <c r="K3" s="138"/>
      <c r="L3" s="138"/>
    </row>
    <row r="4" spans="1:12" ht="18" customHeight="1" thickBot="1" x14ac:dyDescent="0.25">
      <c r="A4" s="199" t="s">
        <v>390</v>
      </c>
      <c r="B4" s="200"/>
      <c r="C4" s="201" t="s">
        <v>391</v>
      </c>
      <c r="D4" s="201" t="s">
        <v>392</v>
      </c>
      <c r="E4" s="202" t="s">
        <v>294</v>
      </c>
      <c r="F4" s="202" t="s">
        <v>295</v>
      </c>
      <c r="G4" s="203" t="s">
        <v>296</v>
      </c>
    </row>
    <row r="5" spans="1:12" ht="16.5" customHeight="1" thickBot="1" x14ac:dyDescent="0.3">
      <c r="A5" s="204" t="s">
        <v>297</v>
      </c>
      <c r="B5" s="467" t="s">
        <v>137</v>
      </c>
      <c r="C5" s="467"/>
      <c r="D5" s="468"/>
      <c r="E5" s="140">
        <f>E6+E11+E16+E22+E26+E34+E43+E48+E52</f>
        <v>46497857</v>
      </c>
      <c r="F5" s="140">
        <f>F6+F11+F16+F22+F26+F34+F43+F48+F52</f>
        <v>48760699.310000002</v>
      </c>
      <c r="G5" s="141">
        <f>G6+G11+G16+G22+G26+G34+G43+G48+G52</f>
        <v>50716893</v>
      </c>
    </row>
    <row r="6" spans="1:12" ht="15" customHeight="1" x14ac:dyDescent="0.25">
      <c r="A6" s="205" t="s">
        <v>298</v>
      </c>
      <c r="B6" s="206">
        <v>50</v>
      </c>
      <c r="C6" s="207" t="s">
        <v>6</v>
      </c>
      <c r="D6" s="208"/>
      <c r="E6" s="36">
        <f>SUM(E7:E10)</f>
        <v>4560536</v>
      </c>
      <c r="F6" s="36">
        <f>SUM(F7:F10)</f>
        <v>5226232.0200000005</v>
      </c>
      <c r="G6" s="43">
        <f t="shared" ref="G6" si="0">SUM(G7:G10)</f>
        <v>5078709</v>
      </c>
    </row>
    <row r="7" spans="1:12" ht="15" x14ac:dyDescent="0.25">
      <c r="A7" s="209" t="s">
        <v>299</v>
      </c>
      <c r="B7" s="210"/>
      <c r="C7" s="211">
        <v>501</v>
      </c>
      <c r="D7" s="212" t="s">
        <v>7</v>
      </c>
      <c r="E7" s="164">
        <v>3138451</v>
      </c>
      <c r="F7" s="164">
        <v>3124675.45</v>
      </c>
      <c r="G7" s="388">
        <f>'P1a N (AU)'!D6</f>
        <v>3396000</v>
      </c>
    </row>
    <row r="8" spans="1:12" ht="15" x14ac:dyDescent="0.25">
      <c r="A8" s="209" t="s">
        <v>300</v>
      </c>
      <c r="B8" s="210"/>
      <c r="C8" s="211">
        <v>502</v>
      </c>
      <c r="D8" s="213" t="s">
        <v>140</v>
      </c>
      <c r="E8" s="164">
        <v>1153235</v>
      </c>
      <c r="F8" s="164">
        <v>1748198.57</v>
      </c>
      <c r="G8" s="388">
        <f>'P1a N (AU)'!D22</f>
        <v>1355000</v>
      </c>
    </row>
    <row r="9" spans="1:12" ht="15" x14ac:dyDescent="0.25">
      <c r="A9" s="209" t="s">
        <v>301</v>
      </c>
      <c r="B9" s="210"/>
      <c r="C9" s="211">
        <v>503</v>
      </c>
      <c r="D9" s="214" t="s">
        <v>141</v>
      </c>
      <c r="E9" s="164">
        <v>268850</v>
      </c>
      <c r="F9" s="164">
        <v>353358</v>
      </c>
      <c r="G9" s="166">
        <v>327709</v>
      </c>
    </row>
    <row r="10" spans="1:12" ht="15" x14ac:dyDescent="0.25">
      <c r="A10" s="209" t="s">
        <v>302</v>
      </c>
      <c r="B10" s="210"/>
      <c r="C10" s="215">
        <v>504</v>
      </c>
      <c r="D10" s="216" t="s">
        <v>8</v>
      </c>
      <c r="E10" s="164">
        <v>0</v>
      </c>
      <c r="F10" s="164">
        <v>0</v>
      </c>
      <c r="G10" s="167">
        <v>0</v>
      </c>
    </row>
    <row r="11" spans="1:12" ht="15" x14ac:dyDescent="0.25">
      <c r="A11" s="209" t="s">
        <v>303</v>
      </c>
      <c r="B11" s="217">
        <v>51</v>
      </c>
      <c r="C11" s="465" t="s">
        <v>9</v>
      </c>
      <c r="D11" s="466"/>
      <c r="E11" s="38">
        <f>SUM(E12:E15)</f>
        <v>1744618</v>
      </c>
      <c r="F11" s="38">
        <f t="shared" ref="F11:G11" si="1">SUM(F12:F15)</f>
        <v>2104350.83</v>
      </c>
      <c r="G11" s="46">
        <f t="shared" si="1"/>
        <v>1901000</v>
      </c>
    </row>
    <row r="12" spans="1:12" ht="15" x14ac:dyDescent="0.25">
      <c r="A12" s="209" t="s">
        <v>304</v>
      </c>
      <c r="B12" s="210"/>
      <c r="C12" s="211">
        <v>511</v>
      </c>
      <c r="D12" s="218" t="s">
        <v>10</v>
      </c>
      <c r="E12" s="164">
        <v>280822</v>
      </c>
      <c r="F12" s="164">
        <v>432890.08</v>
      </c>
      <c r="G12" s="388">
        <f>'P1a N (AU)'!D29</f>
        <v>270000</v>
      </c>
    </row>
    <row r="13" spans="1:12" ht="15" x14ac:dyDescent="0.25">
      <c r="A13" s="209" t="s">
        <v>305</v>
      </c>
      <c r="B13" s="210"/>
      <c r="C13" s="211">
        <v>512</v>
      </c>
      <c r="D13" s="219" t="s">
        <v>11</v>
      </c>
      <c r="E13" s="164">
        <v>19588</v>
      </c>
      <c r="F13" s="164">
        <v>12176</v>
      </c>
      <c r="G13" s="167">
        <v>15000</v>
      </c>
    </row>
    <row r="14" spans="1:12" ht="15" x14ac:dyDescent="0.25">
      <c r="A14" s="209" t="s">
        <v>306</v>
      </c>
      <c r="B14" s="210"/>
      <c r="C14" s="211">
        <v>513</v>
      </c>
      <c r="D14" s="220" t="s">
        <v>12</v>
      </c>
      <c r="E14" s="164">
        <v>9293</v>
      </c>
      <c r="F14" s="164">
        <v>9728.4</v>
      </c>
      <c r="G14" s="388">
        <v>10000</v>
      </c>
    </row>
    <row r="15" spans="1:12" ht="15" x14ac:dyDescent="0.25">
      <c r="A15" s="209" t="s">
        <v>307</v>
      </c>
      <c r="B15" s="210"/>
      <c r="C15" s="211">
        <v>518</v>
      </c>
      <c r="D15" s="214" t="s">
        <v>13</v>
      </c>
      <c r="E15" s="164">
        <v>1434915</v>
      </c>
      <c r="F15" s="164">
        <v>1649556.35</v>
      </c>
      <c r="G15" s="388">
        <f>'P1a N (AU)'!D45</f>
        <v>1606000</v>
      </c>
    </row>
    <row r="16" spans="1:12" ht="15" x14ac:dyDescent="0.25">
      <c r="A16" s="209" t="s">
        <v>308</v>
      </c>
      <c r="B16" s="217">
        <v>52</v>
      </c>
      <c r="C16" s="465" t="s">
        <v>14</v>
      </c>
      <c r="D16" s="466"/>
      <c r="E16" s="38">
        <f>SUM(E17:E21)</f>
        <v>39027640</v>
      </c>
      <c r="F16" s="38">
        <f t="shared" ref="F16:G16" si="2">SUM(F17:F21)</f>
        <v>40525196.100000001</v>
      </c>
      <c r="G16" s="46">
        <f t="shared" si="2"/>
        <v>42853000</v>
      </c>
    </row>
    <row r="17" spans="1:8" ht="15" x14ac:dyDescent="0.25">
      <c r="A17" s="209" t="s">
        <v>309</v>
      </c>
      <c r="B17" s="210"/>
      <c r="C17" s="211">
        <v>521</v>
      </c>
      <c r="D17" s="214" t="s">
        <v>15</v>
      </c>
      <c r="E17" s="164">
        <v>28651812</v>
      </c>
      <c r="F17" s="164">
        <v>30068190</v>
      </c>
      <c r="G17" s="388">
        <f>'P3a Doplň. ukazatele (mzdy)'!D18</f>
        <v>31620000</v>
      </c>
    </row>
    <row r="18" spans="1:8" ht="15" x14ac:dyDescent="0.25">
      <c r="A18" s="209" t="s">
        <v>310</v>
      </c>
      <c r="B18" s="210"/>
      <c r="C18" s="211">
        <v>524</v>
      </c>
      <c r="D18" s="214" t="s">
        <v>16</v>
      </c>
      <c r="E18" s="164">
        <v>9681575</v>
      </c>
      <c r="F18" s="164">
        <v>10021346.000000002</v>
      </c>
      <c r="G18" s="167">
        <f>G17*0.34+200</f>
        <v>10751000</v>
      </c>
    </row>
    <row r="19" spans="1:8" ht="15" x14ac:dyDescent="0.25">
      <c r="A19" s="209" t="s">
        <v>311</v>
      </c>
      <c r="B19" s="210"/>
      <c r="C19" s="211">
        <v>525</v>
      </c>
      <c r="D19" s="214" t="s">
        <v>17</v>
      </c>
      <c r="E19" s="164">
        <v>118912</v>
      </c>
      <c r="F19" s="164">
        <v>124528.43000000001</v>
      </c>
      <c r="G19" s="167">
        <f>G17*0.0042+2196</f>
        <v>135000</v>
      </c>
    </row>
    <row r="20" spans="1:8" ht="15" x14ac:dyDescent="0.25">
      <c r="A20" s="209" t="s">
        <v>312</v>
      </c>
      <c r="B20" s="210"/>
      <c r="C20" s="211">
        <v>527</v>
      </c>
      <c r="D20" s="214" t="s">
        <v>18</v>
      </c>
      <c r="E20" s="164">
        <v>575341</v>
      </c>
      <c r="F20" s="164">
        <v>311131.67</v>
      </c>
      <c r="G20" s="167">
        <f>G17*0.01+30000+800</f>
        <v>347000</v>
      </c>
    </row>
    <row r="21" spans="1:8" ht="15" x14ac:dyDescent="0.25">
      <c r="A21" s="209" t="s">
        <v>313</v>
      </c>
      <c r="B21" s="210"/>
      <c r="C21" s="215">
        <v>528</v>
      </c>
      <c r="D21" s="221" t="s">
        <v>19</v>
      </c>
      <c r="E21" s="164">
        <v>0</v>
      </c>
      <c r="F21" s="164">
        <v>0</v>
      </c>
      <c r="G21" s="167">
        <v>0</v>
      </c>
    </row>
    <row r="22" spans="1:8" ht="15" x14ac:dyDescent="0.25">
      <c r="A22" s="209" t="s">
        <v>314</v>
      </c>
      <c r="B22" s="217">
        <v>53</v>
      </c>
      <c r="C22" s="465" t="s">
        <v>20</v>
      </c>
      <c r="D22" s="466"/>
      <c r="E22" s="38">
        <f>SUM(E23:E25)</f>
        <v>0</v>
      </c>
      <c r="F22" s="38">
        <f t="shared" ref="F22:G22" si="3">SUM(F23:F25)</f>
        <v>0</v>
      </c>
      <c r="G22" s="46">
        <f t="shared" si="3"/>
        <v>0</v>
      </c>
      <c r="H22" t="s">
        <v>200</v>
      </c>
    </row>
    <row r="23" spans="1:8" ht="15" x14ac:dyDescent="0.25">
      <c r="A23" s="209" t="s">
        <v>315</v>
      </c>
      <c r="B23" s="210"/>
      <c r="C23" s="211">
        <v>531</v>
      </c>
      <c r="D23" s="222" t="s">
        <v>21</v>
      </c>
      <c r="E23" s="164">
        <v>0</v>
      </c>
      <c r="F23" s="164">
        <v>0</v>
      </c>
      <c r="G23" s="167">
        <v>0</v>
      </c>
    </row>
    <row r="24" spans="1:8" ht="15" x14ac:dyDescent="0.25">
      <c r="A24" s="209" t="s">
        <v>316</v>
      </c>
      <c r="B24" s="210"/>
      <c r="C24" s="211">
        <v>532</v>
      </c>
      <c r="D24" s="223" t="s">
        <v>22</v>
      </c>
      <c r="E24" s="164">
        <v>0</v>
      </c>
      <c r="F24" s="164">
        <v>0</v>
      </c>
      <c r="G24" s="167">
        <v>0</v>
      </c>
    </row>
    <row r="25" spans="1:8" ht="15" x14ac:dyDescent="0.25">
      <c r="A25" s="209" t="s">
        <v>317</v>
      </c>
      <c r="B25" s="210"/>
      <c r="C25" s="211">
        <v>538</v>
      </c>
      <c r="D25" s="213" t="s">
        <v>23</v>
      </c>
      <c r="E25" s="164">
        <v>0</v>
      </c>
      <c r="F25" s="164">
        <v>0</v>
      </c>
      <c r="G25" s="167">
        <f>'P1a N (AU)'!D62</f>
        <v>0</v>
      </c>
    </row>
    <row r="26" spans="1:8" ht="15" x14ac:dyDescent="0.25">
      <c r="A26" s="209" t="s">
        <v>318</v>
      </c>
      <c r="B26" s="224">
        <v>54</v>
      </c>
      <c r="C26" s="465" t="s">
        <v>24</v>
      </c>
      <c r="D26" s="466"/>
      <c r="E26" s="39">
        <f>SUM(E27:E33)</f>
        <v>211432</v>
      </c>
      <c r="F26" s="39">
        <f t="shared" ref="F26:G26" si="4">SUM(F27:F33)</f>
        <v>144825.79999999999</v>
      </c>
      <c r="G26" s="47">
        <f t="shared" si="4"/>
        <v>140000</v>
      </c>
    </row>
    <row r="27" spans="1:8" ht="15" x14ac:dyDescent="0.25">
      <c r="A27" s="209" t="s">
        <v>319</v>
      </c>
      <c r="B27" s="220"/>
      <c r="C27" s="211">
        <v>541</v>
      </c>
      <c r="D27" s="214" t="s">
        <v>25</v>
      </c>
      <c r="E27" s="168">
        <v>0</v>
      </c>
      <c r="F27" s="168">
        <v>0</v>
      </c>
      <c r="G27" s="169">
        <v>0</v>
      </c>
    </row>
    <row r="28" spans="1:8" ht="15" x14ac:dyDescent="0.25">
      <c r="A28" s="209" t="s">
        <v>320</v>
      </c>
      <c r="B28" s="220"/>
      <c r="C28" s="211">
        <v>542</v>
      </c>
      <c r="D28" s="214" t="s">
        <v>26</v>
      </c>
      <c r="E28" s="168">
        <v>0</v>
      </c>
      <c r="F28" s="168">
        <v>0</v>
      </c>
      <c r="G28" s="169">
        <v>0</v>
      </c>
    </row>
    <row r="29" spans="1:8" ht="15" x14ac:dyDescent="0.25">
      <c r="A29" s="209" t="s">
        <v>321</v>
      </c>
      <c r="B29" s="220"/>
      <c r="C29" s="211">
        <v>543</v>
      </c>
      <c r="D29" s="214" t="s">
        <v>27</v>
      </c>
      <c r="E29" s="168">
        <v>0</v>
      </c>
      <c r="F29" s="168">
        <v>0</v>
      </c>
      <c r="G29" s="169">
        <v>0</v>
      </c>
    </row>
    <row r="30" spans="1:8" ht="15" x14ac:dyDescent="0.25">
      <c r="A30" s="209" t="s">
        <v>322</v>
      </c>
      <c r="B30" s="220"/>
      <c r="C30" s="211">
        <v>544</v>
      </c>
      <c r="D30" s="214" t="s">
        <v>28</v>
      </c>
      <c r="E30" s="164">
        <v>0</v>
      </c>
      <c r="F30" s="164">
        <v>0</v>
      </c>
      <c r="G30" s="167">
        <v>0</v>
      </c>
    </row>
    <row r="31" spans="1:8" ht="15" x14ac:dyDescent="0.25">
      <c r="A31" s="209" t="s">
        <v>323</v>
      </c>
      <c r="B31" s="220"/>
      <c r="C31" s="211">
        <v>547</v>
      </c>
      <c r="D31" s="214" t="s">
        <v>29</v>
      </c>
      <c r="E31" s="164">
        <v>0</v>
      </c>
      <c r="F31" s="164">
        <v>0</v>
      </c>
      <c r="G31" s="167">
        <v>0</v>
      </c>
    </row>
    <row r="32" spans="1:8" ht="15" x14ac:dyDescent="0.25">
      <c r="A32" s="209" t="s">
        <v>324</v>
      </c>
      <c r="B32" s="220"/>
      <c r="C32" s="211">
        <v>548</v>
      </c>
      <c r="D32" s="214" t="s">
        <v>30</v>
      </c>
      <c r="E32" s="168">
        <v>0</v>
      </c>
      <c r="F32" s="168">
        <v>0</v>
      </c>
      <c r="G32" s="169">
        <v>0</v>
      </c>
      <c r="H32" s="139"/>
    </row>
    <row r="33" spans="1:7" ht="15" x14ac:dyDescent="0.25">
      <c r="A33" s="209" t="s">
        <v>325</v>
      </c>
      <c r="B33" s="220"/>
      <c r="C33" s="215">
        <v>549</v>
      </c>
      <c r="D33" s="225" t="s">
        <v>31</v>
      </c>
      <c r="E33" s="164">
        <v>211432</v>
      </c>
      <c r="F33" s="164">
        <v>144825.79999999999</v>
      </c>
      <c r="G33" s="388">
        <f>'P1a N (AU)'!D66</f>
        <v>140000</v>
      </c>
    </row>
    <row r="34" spans="1:7" ht="15" x14ac:dyDescent="0.25">
      <c r="A34" s="209" t="s">
        <v>326</v>
      </c>
      <c r="B34" s="217">
        <v>55</v>
      </c>
      <c r="C34" s="465" t="s">
        <v>32</v>
      </c>
      <c r="D34" s="466"/>
      <c r="E34" s="38">
        <f>SUM(E35:E42)</f>
        <v>953631</v>
      </c>
      <c r="F34" s="38">
        <f t="shared" ref="F34:G34" si="5">SUM(F35:F42)</f>
        <v>760094.56</v>
      </c>
      <c r="G34" s="46">
        <f t="shared" si="5"/>
        <v>744184</v>
      </c>
    </row>
    <row r="35" spans="1:7" ht="15" x14ac:dyDescent="0.25">
      <c r="A35" s="209" t="s">
        <v>327</v>
      </c>
      <c r="B35" s="210"/>
      <c r="C35" s="211">
        <v>551</v>
      </c>
      <c r="D35" s="214" t="s">
        <v>33</v>
      </c>
      <c r="E35" s="164">
        <v>579739</v>
      </c>
      <c r="F35" s="164">
        <v>640919</v>
      </c>
      <c r="G35" s="167">
        <v>644184</v>
      </c>
    </row>
    <row r="36" spans="1:7" ht="15" x14ac:dyDescent="0.25">
      <c r="A36" s="209" t="s">
        <v>328</v>
      </c>
      <c r="B36" s="220"/>
      <c r="C36" s="211">
        <v>552</v>
      </c>
      <c r="D36" s="214" t="s">
        <v>126</v>
      </c>
      <c r="E36" s="164">
        <v>0</v>
      </c>
      <c r="F36" s="164">
        <v>0</v>
      </c>
      <c r="G36" s="167">
        <v>0</v>
      </c>
    </row>
    <row r="37" spans="1:7" ht="15" x14ac:dyDescent="0.25">
      <c r="A37" s="209" t="s">
        <v>329</v>
      </c>
      <c r="B37" s="220"/>
      <c r="C37" s="211">
        <v>553</v>
      </c>
      <c r="D37" s="214" t="s">
        <v>127</v>
      </c>
      <c r="E37" s="164">
        <v>9810</v>
      </c>
      <c r="F37" s="164">
        <v>0</v>
      </c>
      <c r="G37" s="167">
        <v>0</v>
      </c>
    </row>
    <row r="38" spans="1:7" ht="15" x14ac:dyDescent="0.25">
      <c r="A38" s="209" t="s">
        <v>330</v>
      </c>
      <c r="B38" s="220"/>
      <c r="C38" s="211">
        <v>554</v>
      </c>
      <c r="D38" s="214" t="s">
        <v>34</v>
      </c>
      <c r="E38" s="164">
        <v>0</v>
      </c>
      <c r="F38" s="164">
        <v>0</v>
      </c>
      <c r="G38" s="167">
        <v>0</v>
      </c>
    </row>
    <row r="39" spans="1:7" ht="15" x14ac:dyDescent="0.25">
      <c r="A39" s="209" t="s">
        <v>331</v>
      </c>
      <c r="B39" s="220"/>
      <c r="C39" s="211">
        <v>555</v>
      </c>
      <c r="D39" s="214" t="s">
        <v>35</v>
      </c>
      <c r="E39" s="164">
        <v>0</v>
      </c>
      <c r="F39" s="164">
        <v>0</v>
      </c>
      <c r="G39" s="167">
        <v>0</v>
      </c>
    </row>
    <row r="40" spans="1:7" ht="15" x14ac:dyDescent="0.25">
      <c r="A40" s="209" t="s">
        <v>332</v>
      </c>
      <c r="B40" s="220"/>
      <c r="C40" s="215">
        <v>556</v>
      </c>
      <c r="D40" s="225" t="s">
        <v>36</v>
      </c>
      <c r="E40" s="164">
        <v>0</v>
      </c>
      <c r="F40" s="164">
        <v>0</v>
      </c>
      <c r="G40" s="167">
        <v>0</v>
      </c>
    </row>
    <row r="41" spans="1:7" ht="15" x14ac:dyDescent="0.25">
      <c r="A41" s="209" t="s">
        <v>333</v>
      </c>
      <c r="B41" s="220"/>
      <c r="C41" s="215">
        <v>557</v>
      </c>
      <c r="D41" s="225" t="s">
        <v>37</v>
      </c>
      <c r="E41" s="164">
        <v>0</v>
      </c>
      <c r="F41" s="164">
        <v>0</v>
      </c>
      <c r="G41" s="167">
        <v>0</v>
      </c>
    </row>
    <row r="42" spans="1:7" ht="15" x14ac:dyDescent="0.25">
      <c r="A42" s="209" t="s">
        <v>334</v>
      </c>
      <c r="B42" s="220"/>
      <c r="C42" s="215">
        <v>558</v>
      </c>
      <c r="D42" s="225" t="s">
        <v>38</v>
      </c>
      <c r="E42" s="164">
        <v>364082</v>
      </c>
      <c r="F42" s="164">
        <v>119175.56</v>
      </c>
      <c r="G42" s="388">
        <f>'P1a N (AU)'!D70</f>
        <v>100000</v>
      </c>
    </row>
    <row r="43" spans="1:7" ht="15" x14ac:dyDescent="0.25">
      <c r="A43" s="209" t="s">
        <v>335</v>
      </c>
      <c r="B43" s="217">
        <v>56</v>
      </c>
      <c r="C43" s="465" t="s">
        <v>39</v>
      </c>
      <c r="D43" s="466"/>
      <c r="E43" s="38">
        <f>SUM(E44:E47)</f>
        <v>0</v>
      </c>
      <c r="F43" s="38">
        <f t="shared" ref="F43:G43" si="6">SUM(F44:F47)</f>
        <v>0</v>
      </c>
      <c r="G43" s="46">
        <f t="shared" si="6"/>
        <v>0</v>
      </c>
    </row>
    <row r="44" spans="1:7" ht="15" x14ac:dyDescent="0.25">
      <c r="A44" s="209" t="s">
        <v>336</v>
      </c>
      <c r="B44" s="220"/>
      <c r="C44" s="215">
        <v>562</v>
      </c>
      <c r="D44" s="221" t="s">
        <v>40</v>
      </c>
      <c r="E44" s="164">
        <v>0</v>
      </c>
      <c r="F44" s="164">
        <v>0</v>
      </c>
      <c r="G44" s="167">
        <v>0</v>
      </c>
    </row>
    <row r="45" spans="1:7" ht="15" x14ac:dyDescent="0.25">
      <c r="A45" s="209" t="s">
        <v>337</v>
      </c>
      <c r="B45" s="220"/>
      <c r="C45" s="215">
        <v>563</v>
      </c>
      <c r="D45" s="221" t="s">
        <v>41</v>
      </c>
      <c r="E45" s="164">
        <v>0</v>
      </c>
      <c r="F45" s="164">
        <v>0</v>
      </c>
      <c r="G45" s="167">
        <v>0</v>
      </c>
    </row>
    <row r="46" spans="1:7" ht="15" x14ac:dyDescent="0.25">
      <c r="A46" s="209" t="s">
        <v>338</v>
      </c>
      <c r="B46" s="220"/>
      <c r="C46" s="215">
        <v>564</v>
      </c>
      <c r="D46" s="221" t="s">
        <v>42</v>
      </c>
      <c r="E46" s="164">
        <v>0</v>
      </c>
      <c r="F46" s="164">
        <v>0</v>
      </c>
      <c r="G46" s="167">
        <v>0</v>
      </c>
    </row>
    <row r="47" spans="1:7" ht="15" x14ac:dyDescent="0.25">
      <c r="A47" s="209" t="s">
        <v>339</v>
      </c>
      <c r="B47" s="220"/>
      <c r="C47" s="215">
        <v>569</v>
      </c>
      <c r="D47" s="221" t="s">
        <v>43</v>
      </c>
      <c r="E47" s="164">
        <v>0</v>
      </c>
      <c r="F47" s="164">
        <v>0</v>
      </c>
      <c r="G47" s="167">
        <v>0</v>
      </c>
    </row>
    <row r="48" spans="1:7" ht="15" x14ac:dyDescent="0.25">
      <c r="A48" s="209" t="s">
        <v>340</v>
      </c>
      <c r="B48" s="217">
        <v>57</v>
      </c>
      <c r="C48" s="465" t="s">
        <v>129</v>
      </c>
      <c r="D48" s="466"/>
      <c r="E48" s="38">
        <f>SUM(E49:E51)</f>
        <v>0</v>
      </c>
      <c r="F48" s="38">
        <f t="shared" ref="F48:G48" si="7">SUM(F49:F51)</f>
        <v>0</v>
      </c>
      <c r="G48" s="46">
        <f t="shared" si="7"/>
        <v>0</v>
      </c>
    </row>
    <row r="49" spans="1:7" ht="15" x14ac:dyDescent="0.25">
      <c r="A49" s="209" t="s">
        <v>341</v>
      </c>
      <c r="B49" s="220"/>
      <c r="C49" s="215">
        <v>571</v>
      </c>
      <c r="D49" s="221" t="s">
        <v>44</v>
      </c>
      <c r="E49" s="164">
        <v>0</v>
      </c>
      <c r="F49" s="164">
        <v>0</v>
      </c>
      <c r="G49" s="167">
        <v>0</v>
      </c>
    </row>
    <row r="50" spans="1:7" ht="15" x14ac:dyDescent="0.25">
      <c r="A50" s="209" t="s">
        <v>342</v>
      </c>
      <c r="B50" s="220"/>
      <c r="C50" s="215">
        <v>572</v>
      </c>
      <c r="D50" s="221" t="s">
        <v>128</v>
      </c>
      <c r="E50" s="164">
        <v>0</v>
      </c>
      <c r="F50" s="164">
        <v>0</v>
      </c>
      <c r="G50" s="167">
        <v>0</v>
      </c>
    </row>
    <row r="51" spans="1:7" ht="15" x14ac:dyDescent="0.25">
      <c r="A51" s="209" t="s">
        <v>343</v>
      </c>
      <c r="B51" s="220"/>
      <c r="C51" s="215">
        <v>574</v>
      </c>
      <c r="D51" s="221" t="s">
        <v>45</v>
      </c>
      <c r="E51" s="164">
        <v>0</v>
      </c>
      <c r="F51" s="164">
        <v>0</v>
      </c>
      <c r="G51" s="167">
        <v>0</v>
      </c>
    </row>
    <row r="52" spans="1:7" ht="15" x14ac:dyDescent="0.25">
      <c r="A52" s="209" t="s">
        <v>344</v>
      </c>
      <c r="B52" s="217">
        <v>59</v>
      </c>
      <c r="C52" s="465" t="s">
        <v>46</v>
      </c>
      <c r="D52" s="466"/>
      <c r="E52" s="38">
        <f>SUM(E53:E54)</f>
        <v>0</v>
      </c>
      <c r="F52" s="38">
        <f t="shared" ref="F52:G52" si="8">SUM(F53:F54)</f>
        <v>0</v>
      </c>
      <c r="G52" s="46">
        <f t="shared" si="8"/>
        <v>0</v>
      </c>
    </row>
    <row r="53" spans="1:7" ht="15" x14ac:dyDescent="0.25">
      <c r="A53" s="209" t="s">
        <v>345</v>
      </c>
      <c r="B53" s="226"/>
      <c r="C53" s="211">
        <v>591</v>
      </c>
      <c r="D53" s="213" t="s">
        <v>47</v>
      </c>
      <c r="E53" s="164">
        <v>0</v>
      </c>
      <c r="F53" s="164">
        <v>0</v>
      </c>
      <c r="G53" s="167">
        <v>0</v>
      </c>
    </row>
    <row r="54" spans="1:7" ht="15.75" thickBot="1" x14ac:dyDescent="0.3">
      <c r="A54" s="227" t="s">
        <v>346</v>
      </c>
      <c r="B54" s="228"/>
      <c r="C54" s="229">
        <v>595</v>
      </c>
      <c r="D54" s="230" t="s">
        <v>48</v>
      </c>
      <c r="E54" s="172">
        <v>0</v>
      </c>
      <c r="F54" s="172">
        <v>0</v>
      </c>
      <c r="G54" s="173">
        <v>0</v>
      </c>
    </row>
    <row r="55" spans="1:7" ht="16.5" customHeight="1" thickBot="1" x14ac:dyDescent="0.3">
      <c r="A55" s="204" t="s">
        <v>347</v>
      </c>
      <c r="B55" s="467" t="s">
        <v>433</v>
      </c>
      <c r="C55" s="467"/>
      <c r="D55" s="468"/>
      <c r="E55" s="42">
        <f>E56+E62+E67+E72+E82+E87</f>
        <v>46497857</v>
      </c>
      <c r="F55" s="42">
        <f>F56+F62+F67+F72+F82+F87</f>
        <v>48760699.350000001</v>
      </c>
      <c r="G55" s="50">
        <f>G56+G62+G67+G72+G82+G87</f>
        <v>50716893</v>
      </c>
    </row>
    <row r="56" spans="1:7" ht="15" x14ac:dyDescent="0.25">
      <c r="A56" s="205" t="s">
        <v>348</v>
      </c>
      <c r="B56" s="206">
        <v>60</v>
      </c>
      <c r="C56" s="470" t="s">
        <v>49</v>
      </c>
      <c r="D56" s="471"/>
      <c r="E56" s="36">
        <f>SUM(E57:E61)</f>
        <v>7708781</v>
      </c>
      <c r="F56" s="36">
        <f>SUM(F57:F61)</f>
        <v>8368717.7800000003</v>
      </c>
      <c r="G56" s="43">
        <f t="shared" ref="G56" si="9">SUM(G57:G61)</f>
        <v>9128000</v>
      </c>
    </row>
    <row r="57" spans="1:7" ht="15" x14ac:dyDescent="0.25">
      <c r="A57" s="209" t="s">
        <v>349</v>
      </c>
      <c r="B57" s="220"/>
      <c r="C57" s="211">
        <v>601</v>
      </c>
      <c r="D57" s="214" t="s">
        <v>50</v>
      </c>
      <c r="E57" s="164">
        <v>0</v>
      </c>
      <c r="F57" s="164">
        <v>0</v>
      </c>
      <c r="G57" s="167">
        <v>0</v>
      </c>
    </row>
    <row r="58" spans="1:7" ht="15" x14ac:dyDescent="0.25">
      <c r="A58" s="209" t="s">
        <v>350</v>
      </c>
      <c r="B58" s="220"/>
      <c r="C58" s="211">
        <v>602</v>
      </c>
      <c r="D58" s="214" t="s">
        <v>51</v>
      </c>
      <c r="E58" s="164">
        <v>7708781</v>
      </c>
      <c r="F58" s="164">
        <v>8368717.7800000003</v>
      </c>
      <c r="G58" s="167">
        <v>9128000</v>
      </c>
    </row>
    <row r="59" spans="1:7" ht="15" x14ac:dyDescent="0.25">
      <c r="A59" s="209" t="s">
        <v>351</v>
      </c>
      <c r="B59" s="220"/>
      <c r="C59" s="215">
        <v>603</v>
      </c>
      <c r="D59" s="225" t="s">
        <v>52</v>
      </c>
      <c r="E59" s="164">
        <v>0</v>
      </c>
      <c r="F59" s="164">
        <v>0</v>
      </c>
      <c r="G59" s="167">
        <v>0</v>
      </c>
    </row>
    <row r="60" spans="1:7" ht="15" x14ac:dyDescent="0.25">
      <c r="A60" s="209" t="s">
        <v>352</v>
      </c>
      <c r="B60" s="220"/>
      <c r="C60" s="215">
        <v>604</v>
      </c>
      <c r="D60" s="225" t="s">
        <v>53</v>
      </c>
      <c r="E60" s="164">
        <v>0</v>
      </c>
      <c r="F60" s="164">
        <v>0</v>
      </c>
      <c r="G60" s="167">
        <v>0</v>
      </c>
    </row>
    <row r="61" spans="1:7" ht="15" x14ac:dyDescent="0.25">
      <c r="A61" s="209" t="s">
        <v>353</v>
      </c>
      <c r="B61" s="220"/>
      <c r="C61" s="215">
        <v>608</v>
      </c>
      <c r="D61" s="225" t="s">
        <v>54</v>
      </c>
      <c r="E61" s="164">
        <v>0</v>
      </c>
      <c r="F61" s="164">
        <v>0</v>
      </c>
      <c r="G61" s="167">
        <v>0</v>
      </c>
    </row>
    <row r="62" spans="1:7" ht="15" x14ac:dyDescent="0.25">
      <c r="A62" s="209" t="s">
        <v>354</v>
      </c>
      <c r="B62" s="217">
        <v>61</v>
      </c>
      <c r="C62" s="465" t="s">
        <v>55</v>
      </c>
      <c r="D62" s="466"/>
      <c r="E62" s="38">
        <f>SUM(E63:E66)</f>
        <v>0</v>
      </c>
      <c r="F62" s="38">
        <f t="shared" ref="F62:G62" si="10">SUM(F63:F66)</f>
        <v>0</v>
      </c>
      <c r="G62" s="46">
        <f t="shared" si="10"/>
        <v>0</v>
      </c>
    </row>
    <row r="63" spans="1:7" ht="15" x14ac:dyDescent="0.25">
      <c r="A63" s="209" t="s">
        <v>355</v>
      </c>
      <c r="B63" s="220"/>
      <c r="C63" s="211">
        <v>611</v>
      </c>
      <c r="D63" s="214" t="s">
        <v>56</v>
      </c>
      <c r="E63" s="164">
        <v>0</v>
      </c>
      <c r="F63" s="164">
        <v>0</v>
      </c>
      <c r="G63" s="167">
        <v>0</v>
      </c>
    </row>
    <row r="64" spans="1:7" ht="15" x14ac:dyDescent="0.25">
      <c r="A64" s="209" t="s">
        <v>356</v>
      </c>
      <c r="B64" s="220"/>
      <c r="C64" s="211">
        <v>612</v>
      </c>
      <c r="D64" s="214" t="s">
        <v>57</v>
      </c>
      <c r="E64" s="164">
        <v>0</v>
      </c>
      <c r="F64" s="164">
        <v>0</v>
      </c>
      <c r="G64" s="167">
        <v>0</v>
      </c>
    </row>
    <row r="65" spans="1:7" ht="15" x14ac:dyDescent="0.25">
      <c r="A65" s="209" t="s">
        <v>357</v>
      </c>
      <c r="B65" s="220"/>
      <c r="C65" s="211">
        <v>613</v>
      </c>
      <c r="D65" s="214" t="s">
        <v>58</v>
      </c>
      <c r="E65" s="164">
        <v>0</v>
      </c>
      <c r="F65" s="164">
        <v>0</v>
      </c>
      <c r="G65" s="167">
        <v>0</v>
      </c>
    </row>
    <row r="66" spans="1:7" ht="15" x14ac:dyDescent="0.25">
      <c r="A66" s="209" t="s">
        <v>358</v>
      </c>
      <c r="B66" s="220"/>
      <c r="C66" s="215">
        <v>614</v>
      </c>
      <c r="D66" s="225" t="s">
        <v>59</v>
      </c>
      <c r="E66" s="164">
        <v>0</v>
      </c>
      <c r="F66" s="164">
        <v>0</v>
      </c>
      <c r="G66" s="167">
        <v>0</v>
      </c>
    </row>
    <row r="67" spans="1:7" ht="15" x14ac:dyDescent="0.25">
      <c r="A67" s="209" t="s">
        <v>359</v>
      </c>
      <c r="B67" s="217">
        <v>62</v>
      </c>
      <c r="C67" s="465" t="s">
        <v>60</v>
      </c>
      <c r="D67" s="466"/>
      <c r="E67" s="38">
        <f>SUM(E68:E71)</f>
        <v>0</v>
      </c>
      <c r="F67" s="38">
        <f t="shared" ref="F67:G67" si="11">SUM(F68:F71)</f>
        <v>0</v>
      </c>
      <c r="G67" s="46">
        <f t="shared" si="11"/>
        <v>0</v>
      </c>
    </row>
    <row r="68" spans="1:7" ht="15" x14ac:dyDescent="0.25">
      <c r="A68" s="209" t="s">
        <v>360</v>
      </c>
      <c r="B68" s="220"/>
      <c r="C68" s="211">
        <v>621</v>
      </c>
      <c r="D68" s="214" t="s">
        <v>61</v>
      </c>
      <c r="E68" s="164">
        <v>0</v>
      </c>
      <c r="F68" s="164">
        <v>0</v>
      </c>
      <c r="G68" s="167">
        <v>0</v>
      </c>
    </row>
    <row r="69" spans="1:7" ht="15" x14ac:dyDescent="0.25">
      <c r="A69" s="209" t="s">
        <v>361</v>
      </c>
      <c r="B69" s="220"/>
      <c r="C69" s="211">
        <v>622</v>
      </c>
      <c r="D69" s="214" t="s">
        <v>62</v>
      </c>
      <c r="E69" s="164">
        <v>0</v>
      </c>
      <c r="F69" s="164">
        <v>0</v>
      </c>
      <c r="G69" s="167">
        <v>0</v>
      </c>
    </row>
    <row r="70" spans="1:7" ht="15" x14ac:dyDescent="0.25">
      <c r="A70" s="209" t="s">
        <v>362</v>
      </c>
      <c r="B70" s="220"/>
      <c r="C70" s="211">
        <v>623</v>
      </c>
      <c r="D70" s="214" t="s">
        <v>63</v>
      </c>
      <c r="E70" s="164">
        <v>0</v>
      </c>
      <c r="F70" s="164">
        <v>0</v>
      </c>
      <c r="G70" s="167">
        <v>0</v>
      </c>
    </row>
    <row r="71" spans="1:7" ht="15" x14ac:dyDescent="0.25">
      <c r="A71" s="209" t="s">
        <v>363</v>
      </c>
      <c r="B71" s="220"/>
      <c r="C71" s="215">
        <v>624</v>
      </c>
      <c r="D71" s="225" t="s">
        <v>64</v>
      </c>
      <c r="E71" s="164">
        <v>0</v>
      </c>
      <c r="F71" s="164">
        <v>0</v>
      </c>
      <c r="G71" s="167">
        <v>0</v>
      </c>
    </row>
    <row r="72" spans="1:7" ht="15" x14ac:dyDescent="0.25">
      <c r="A72" s="209" t="s">
        <v>364</v>
      </c>
      <c r="B72" s="217">
        <v>64</v>
      </c>
      <c r="C72" s="465" t="s">
        <v>65</v>
      </c>
      <c r="D72" s="466"/>
      <c r="E72" s="38">
        <f>SUM(E73:E81)</f>
        <v>1605895</v>
      </c>
      <c r="F72" s="38">
        <f t="shared" ref="F72:G72" si="12">SUM(F73:F81)</f>
        <v>1876570.5699999998</v>
      </c>
      <c r="G72" s="46">
        <f t="shared" si="12"/>
        <v>1650000</v>
      </c>
    </row>
    <row r="73" spans="1:7" ht="15" x14ac:dyDescent="0.25">
      <c r="A73" s="209" t="s">
        <v>365</v>
      </c>
      <c r="B73" s="220"/>
      <c r="C73" s="211">
        <v>641</v>
      </c>
      <c r="D73" s="214" t="s">
        <v>25</v>
      </c>
      <c r="E73" s="168">
        <v>0</v>
      </c>
      <c r="F73" s="168">
        <v>0</v>
      </c>
      <c r="G73" s="169">
        <v>0</v>
      </c>
    </row>
    <row r="74" spans="1:7" ht="15" x14ac:dyDescent="0.25">
      <c r="A74" s="209" t="s">
        <v>366</v>
      </c>
      <c r="B74" s="220"/>
      <c r="C74" s="211">
        <v>642</v>
      </c>
      <c r="D74" s="214" t="s">
        <v>26</v>
      </c>
      <c r="E74" s="168">
        <v>0</v>
      </c>
      <c r="F74" s="168">
        <v>0</v>
      </c>
      <c r="G74" s="169">
        <v>0</v>
      </c>
    </row>
    <row r="75" spans="1:7" ht="15" x14ac:dyDescent="0.25">
      <c r="A75" s="209" t="s">
        <v>367</v>
      </c>
      <c r="B75" s="220"/>
      <c r="C75" s="211">
        <v>643</v>
      </c>
      <c r="D75" s="214" t="s">
        <v>66</v>
      </c>
      <c r="E75" s="168">
        <v>0</v>
      </c>
      <c r="F75" s="168">
        <v>0</v>
      </c>
      <c r="G75" s="169">
        <v>0</v>
      </c>
    </row>
    <row r="76" spans="1:7" ht="15" x14ac:dyDescent="0.25">
      <c r="A76" s="209" t="s">
        <v>368</v>
      </c>
      <c r="B76" s="220"/>
      <c r="C76" s="211">
        <v>644</v>
      </c>
      <c r="D76" s="213" t="s">
        <v>67</v>
      </c>
      <c r="E76" s="164">
        <v>0</v>
      </c>
      <c r="F76" s="164">
        <v>0</v>
      </c>
      <c r="G76" s="167">
        <v>0</v>
      </c>
    </row>
    <row r="77" spans="1:7" ht="15" x14ac:dyDescent="0.25">
      <c r="A77" s="209" t="s">
        <v>369</v>
      </c>
      <c r="B77" s="220"/>
      <c r="C77" s="211">
        <v>645</v>
      </c>
      <c r="D77" s="213" t="s">
        <v>124</v>
      </c>
      <c r="E77" s="164">
        <v>0</v>
      </c>
      <c r="F77" s="164">
        <v>0</v>
      </c>
      <c r="G77" s="167">
        <v>0</v>
      </c>
    </row>
    <row r="78" spans="1:7" ht="15" x14ac:dyDescent="0.25">
      <c r="A78" s="209" t="s">
        <v>370</v>
      </c>
      <c r="B78" s="220"/>
      <c r="C78" s="211">
        <v>646</v>
      </c>
      <c r="D78" s="213" t="s">
        <v>123</v>
      </c>
      <c r="E78" s="164">
        <v>0</v>
      </c>
      <c r="F78" s="164">
        <v>0</v>
      </c>
      <c r="G78" s="167">
        <v>0</v>
      </c>
    </row>
    <row r="79" spans="1:7" ht="15" x14ac:dyDescent="0.25">
      <c r="A79" s="209" t="s">
        <v>371</v>
      </c>
      <c r="B79" s="220"/>
      <c r="C79" s="211">
        <v>647</v>
      </c>
      <c r="D79" s="213" t="s">
        <v>68</v>
      </c>
      <c r="E79" s="164">
        <v>0</v>
      </c>
      <c r="F79" s="164">
        <v>0</v>
      </c>
      <c r="G79" s="167">
        <v>0</v>
      </c>
    </row>
    <row r="80" spans="1:7" ht="15" x14ac:dyDescent="0.25">
      <c r="A80" s="209" t="s">
        <v>372</v>
      </c>
      <c r="B80" s="220"/>
      <c r="C80" s="211">
        <v>648</v>
      </c>
      <c r="D80" s="213" t="s">
        <v>69</v>
      </c>
      <c r="E80" s="164">
        <v>243440</v>
      </c>
      <c r="F80" s="164">
        <v>537324.56999999995</v>
      </c>
      <c r="G80" s="167">
        <v>300000</v>
      </c>
    </row>
    <row r="81" spans="1:7" ht="15" x14ac:dyDescent="0.25">
      <c r="A81" s="209" t="s">
        <v>373</v>
      </c>
      <c r="B81" s="220"/>
      <c r="C81" s="215">
        <v>649</v>
      </c>
      <c r="D81" s="221" t="s">
        <v>70</v>
      </c>
      <c r="E81" s="164">
        <v>1362455</v>
      </c>
      <c r="F81" s="164">
        <v>1339246</v>
      </c>
      <c r="G81" s="167">
        <v>1350000</v>
      </c>
    </row>
    <row r="82" spans="1:7" ht="15" x14ac:dyDescent="0.25">
      <c r="A82" s="209" t="s">
        <v>374</v>
      </c>
      <c r="B82" s="217">
        <v>66</v>
      </c>
      <c r="C82" s="465" t="s">
        <v>71</v>
      </c>
      <c r="D82" s="466"/>
      <c r="E82" s="38">
        <f>SUM(E83:E86)</f>
        <v>0</v>
      </c>
      <c r="F82" s="38">
        <f t="shared" ref="F82:G82" si="13">SUM(F83:F86)</f>
        <v>0</v>
      </c>
      <c r="G82" s="46">
        <f t="shared" si="13"/>
        <v>216000</v>
      </c>
    </row>
    <row r="83" spans="1:7" ht="15" x14ac:dyDescent="0.25">
      <c r="A83" s="209" t="s">
        <v>375</v>
      </c>
      <c r="B83" s="220"/>
      <c r="C83" s="211">
        <v>662</v>
      </c>
      <c r="D83" s="214" t="s">
        <v>40</v>
      </c>
      <c r="E83" s="164">
        <v>0</v>
      </c>
      <c r="F83" s="164">
        <v>0</v>
      </c>
      <c r="G83" s="167">
        <v>216000</v>
      </c>
    </row>
    <row r="84" spans="1:7" ht="15" x14ac:dyDescent="0.25">
      <c r="A84" s="209" t="s">
        <v>376</v>
      </c>
      <c r="B84" s="220"/>
      <c r="C84" s="211">
        <v>663</v>
      </c>
      <c r="D84" s="214" t="s">
        <v>72</v>
      </c>
      <c r="E84" s="164">
        <v>0</v>
      </c>
      <c r="F84" s="164">
        <v>0</v>
      </c>
      <c r="G84" s="167">
        <v>0</v>
      </c>
    </row>
    <row r="85" spans="1:7" ht="15" x14ac:dyDescent="0.25">
      <c r="A85" s="209" t="s">
        <v>377</v>
      </c>
      <c r="B85" s="220"/>
      <c r="C85" s="211">
        <v>664</v>
      </c>
      <c r="D85" s="214" t="s">
        <v>73</v>
      </c>
      <c r="E85" s="164">
        <v>0</v>
      </c>
      <c r="F85" s="164">
        <v>0</v>
      </c>
      <c r="G85" s="167">
        <v>0</v>
      </c>
    </row>
    <row r="86" spans="1:7" ht="15" x14ac:dyDescent="0.25">
      <c r="A86" s="209" t="s">
        <v>378</v>
      </c>
      <c r="B86" s="220"/>
      <c r="C86" s="211">
        <v>669</v>
      </c>
      <c r="D86" s="214" t="s">
        <v>74</v>
      </c>
      <c r="E86" s="164">
        <v>0</v>
      </c>
      <c r="F86" s="164">
        <v>0</v>
      </c>
      <c r="G86" s="167">
        <v>0</v>
      </c>
    </row>
    <row r="87" spans="1:7" ht="15" x14ac:dyDescent="0.25">
      <c r="A87" s="209" t="s">
        <v>379</v>
      </c>
      <c r="B87" s="217">
        <v>67</v>
      </c>
      <c r="C87" s="465" t="s">
        <v>139</v>
      </c>
      <c r="D87" s="466"/>
      <c r="E87" s="38">
        <f>SUM(E88:E92)</f>
        <v>37183181</v>
      </c>
      <c r="F87" s="38">
        <f>SUM(F88:F92)</f>
        <v>38515411</v>
      </c>
      <c r="G87" s="46">
        <f>SUM(G88:G92)</f>
        <v>39722893</v>
      </c>
    </row>
    <row r="88" spans="1:7" ht="15" x14ac:dyDescent="0.25">
      <c r="A88" s="209" t="s">
        <v>380</v>
      </c>
      <c r="B88" s="220"/>
      <c r="C88" s="211">
        <v>672</v>
      </c>
      <c r="D88" s="214" t="s">
        <v>205</v>
      </c>
      <c r="E88" s="164">
        <v>19035600</v>
      </c>
      <c r="F88" s="164">
        <v>18096000</v>
      </c>
      <c r="G88" s="167">
        <v>18096000</v>
      </c>
    </row>
    <row r="89" spans="1:7" ht="15" x14ac:dyDescent="0.25">
      <c r="A89" s="209" t="s">
        <v>381</v>
      </c>
      <c r="B89" s="220"/>
      <c r="C89" s="215">
        <v>672</v>
      </c>
      <c r="D89" s="226" t="s">
        <v>142</v>
      </c>
      <c r="E89" s="170">
        <v>12843125</v>
      </c>
      <c r="F89" s="170">
        <v>14933125</v>
      </c>
      <c r="G89" s="443">
        <f>15123130+860000</f>
        <v>15983130</v>
      </c>
    </row>
    <row r="90" spans="1:7" ht="15" x14ac:dyDescent="0.25">
      <c r="A90" s="209" t="s">
        <v>382</v>
      </c>
      <c r="B90" s="220"/>
      <c r="C90" s="215">
        <v>672</v>
      </c>
      <c r="D90" s="226" t="s">
        <v>143</v>
      </c>
      <c r="E90" s="170">
        <v>0</v>
      </c>
      <c r="F90" s="170">
        <v>0</v>
      </c>
      <c r="G90" s="171">
        <v>0</v>
      </c>
    </row>
    <row r="91" spans="1:7" ht="15" x14ac:dyDescent="0.25">
      <c r="A91" s="209" t="s">
        <v>383</v>
      </c>
      <c r="B91" s="220"/>
      <c r="C91" s="215">
        <v>672</v>
      </c>
      <c r="D91" s="226" t="s">
        <v>144</v>
      </c>
      <c r="E91" s="170">
        <v>4991011</v>
      </c>
      <c r="F91" s="170">
        <v>5144348</v>
      </c>
      <c r="G91" s="171">
        <v>5301822</v>
      </c>
    </row>
    <row r="92" spans="1:7" ht="15.75" thickBot="1" x14ac:dyDescent="0.3">
      <c r="A92" s="231" t="s">
        <v>384</v>
      </c>
      <c r="B92" s="220"/>
      <c r="C92" s="215">
        <v>674</v>
      </c>
      <c r="D92" s="226" t="s">
        <v>125</v>
      </c>
      <c r="E92" s="170">
        <v>313445</v>
      </c>
      <c r="F92" s="170">
        <v>341938</v>
      </c>
      <c r="G92" s="171">
        <v>341941</v>
      </c>
    </row>
    <row r="93" spans="1:7" ht="15.75" thickBot="1" x14ac:dyDescent="0.3">
      <c r="A93" s="204" t="s">
        <v>385</v>
      </c>
      <c r="B93" s="232" t="s">
        <v>138</v>
      </c>
      <c r="C93" s="232"/>
      <c r="D93" s="233"/>
      <c r="E93" s="42">
        <f>E55-E5</f>
        <v>0</v>
      </c>
      <c r="F93" s="42">
        <f t="shared" ref="F93:G93" si="14">F55-F5</f>
        <v>3.9999999105930328E-2</v>
      </c>
      <c r="G93" s="50">
        <f t="shared" si="14"/>
        <v>0</v>
      </c>
    </row>
  </sheetData>
  <sheetProtection algorithmName="SHA-512" hashValue="c7egYhTVuhqLtrWbmsyVFe/26AB/oEygp3jHZ/ZqtzeUoHHrNfgGCDOLIgLo0AaI0S5h4mJ5jSTkazhOKpEFCA==" saltValue="6Xi/yOLKSrFcXYwp0IDezg==" spinCount="100000" sheet="1" selectLockedCells="1"/>
  <mergeCells count="19">
    <mergeCell ref="C52:D52"/>
    <mergeCell ref="B55:D55"/>
    <mergeCell ref="C87:D87"/>
    <mergeCell ref="C56:D56"/>
    <mergeCell ref="C62:D62"/>
    <mergeCell ref="C67:D67"/>
    <mergeCell ref="C72:D72"/>
    <mergeCell ref="C82:D82"/>
    <mergeCell ref="A1:G1"/>
    <mergeCell ref="A2:G2"/>
    <mergeCell ref="C34:D34"/>
    <mergeCell ref="C43:D43"/>
    <mergeCell ref="C48:D48"/>
    <mergeCell ref="C26:D26"/>
    <mergeCell ref="B5:D5"/>
    <mergeCell ref="C11:D11"/>
    <mergeCell ref="C16:D16"/>
    <mergeCell ref="C22:D22"/>
    <mergeCell ref="A3:G3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86" fitToHeight="2" orientation="portrait" r:id="rId1"/>
  <headerFooter>
    <oddHeader>&amp;C
&amp;R&amp;"Arial CE,Tučné"P1</oddHeader>
  </headerFooter>
  <rowBreaks count="1" manualBreakCount="1">
    <brk id="54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93FC-5022-43FC-B81E-15A34F40B4F0}">
  <dimension ref="A1:L162"/>
  <sheetViews>
    <sheetView showGridLines="0" topLeftCell="A64" zoomScaleNormal="100" zoomScaleSheetLayoutView="100" workbookViewId="0">
      <selection activeCell="D8" sqref="D8"/>
    </sheetView>
  </sheetViews>
  <sheetFormatPr defaultColWidth="9.140625" defaultRowHeight="15" x14ac:dyDescent="0.25"/>
  <cols>
    <col min="1" max="2" width="7.140625" style="124" customWidth="1"/>
    <col min="3" max="3" width="37.85546875" style="124" customWidth="1"/>
    <col min="4" max="4" width="14.42578125" style="125" customWidth="1"/>
    <col min="5" max="5" width="91" style="124" customWidth="1"/>
    <col min="6" max="16384" width="9.140625" style="124"/>
  </cols>
  <sheetData>
    <row r="1" spans="1:12" customFormat="1" ht="16.5" customHeight="1" x14ac:dyDescent="0.2">
      <c r="A1" s="463" t="s">
        <v>422</v>
      </c>
      <c r="B1" s="463"/>
      <c r="C1" s="463"/>
      <c r="D1" s="463"/>
      <c r="E1" s="463"/>
      <c r="F1" s="234"/>
      <c r="G1" s="234"/>
      <c r="H1" s="7"/>
      <c r="I1" s="7"/>
      <c r="J1" s="7"/>
      <c r="K1" s="7"/>
      <c r="L1" s="7"/>
    </row>
    <row r="2" spans="1:12" customFormat="1" ht="16.5" customHeight="1" x14ac:dyDescent="0.3">
      <c r="A2" s="464" t="str">
        <f>Úvod!Doplňte_název_organizace</f>
        <v>Domov Raspenava, příspěvková organizace</v>
      </c>
      <c r="B2" s="464"/>
      <c r="C2" s="464"/>
      <c r="D2" s="464"/>
      <c r="E2" s="464"/>
      <c r="F2" s="235"/>
      <c r="G2" s="235"/>
      <c r="H2" s="7"/>
      <c r="I2" s="7"/>
      <c r="J2" s="7"/>
      <c r="K2" s="7"/>
      <c r="L2" s="7"/>
    </row>
    <row r="3" spans="1:12" s="139" customFormat="1" ht="16.5" customHeight="1" thickBot="1" x14ac:dyDescent="0.3">
      <c r="A3" s="245"/>
      <c r="B3" s="245"/>
      <c r="C3" s="245"/>
      <c r="D3" s="245"/>
      <c r="E3" s="245"/>
      <c r="F3" s="136"/>
      <c r="G3" s="137"/>
      <c r="H3" s="138"/>
      <c r="I3" s="138"/>
      <c r="J3" s="138"/>
      <c r="K3" s="138"/>
      <c r="L3" s="138"/>
    </row>
    <row r="4" spans="1:12" s="120" customFormat="1" ht="19.5" customHeight="1" thickBot="1" x14ac:dyDescent="0.3">
      <c r="A4" s="425" t="s">
        <v>393</v>
      </c>
      <c r="B4" s="246" t="s">
        <v>394</v>
      </c>
      <c r="C4" s="246" t="s">
        <v>392</v>
      </c>
      <c r="D4" s="202" t="s">
        <v>296</v>
      </c>
      <c r="E4" s="184" t="s">
        <v>290</v>
      </c>
    </row>
    <row r="5" spans="1:12" s="120" customFormat="1" ht="20.100000000000001" customHeight="1" x14ac:dyDescent="0.25">
      <c r="A5" s="426" t="s">
        <v>6</v>
      </c>
      <c r="B5" s="247"/>
      <c r="C5" s="248"/>
      <c r="D5" s="389">
        <f>D6+D22</f>
        <v>4751000</v>
      </c>
      <c r="E5" s="121"/>
    </row>
    <row r="6" spans="1:12" s="120" customFormat="1" ht="20.100000000000001" customHeight="1" x14ac:dyDescent="0.25">
      <c r="A6" s="427">
        <v>501</v>
      </c>
      <c r="B6" s="250" t="s">
        <v>276</v>
      </c>
      <c r="C6" s="251" t="s">
        <v>7</v>
      </c>
      <c r="D6" s="390">
        <f>SUM(D7:D21)</f>
        <v>3396000</v>
      </c>
      <c r="E6" s="175"/>
    </row>
    <row r="7" spans="1:12" s="120" customFormat="1" ht="20.100000000000001" customHeight="1" x14ac:dyDescent="0.25">
      <c r="A7" s="428"/>
      <c r="B7" s="253"/>
      <c r="C7" s="254" t="s">
        <v>455</v>
      </c>
      <c r="D7" s="174">
        <v>2150000</v>
      </c>
      <c r="E7" s="441" t="s">
        <v>500</v>
      </c>
    </row>
    <row r="8" spans="1:12" s="120" customFormat="1" ht="20.100000000000001" customHeight="1" x14ac:dyDescent="0.25">
      <c r="A8" s="428"/>
      <c r="B8" s="253"/>
      <c r="C8" s="254" t="s">
        <v>454</v>
      </c>
      <c r="D8" s="174">
        <v>335000</v>
      </c>
      <c r="E8" s="175"/>
    </row>
    <row r="9" spans="1:12" s="120" customFormat="1" ht="20.100000000000001" customHeight="1" x14ac:dyDescent="0.25">
      <c r="A9" s="428"/>
      <c r="B9" s="253"/>
      <c r="C9" s="254" t="s">
        <v>451</v>
      </c>
      <c r="D9" s="174">
        <v>260000</v>
      </c>
      <c r="E9" s="175"/>
    </row>
    <row r="10" spans="1:12" s="120" customFormat="1" ht="20.100000000000001" customHeight="1" x14ac:dyDescent="0.25">
      <c r="A10" s="428"/>
      <c r="B10" s="253"/>
      <c r="C10" s="254" t="s">
        <v>452</v>
      </c>
      <c r="D10" s="174">
        <v>125000</v>
      </c>
      <c r="E10" s="438" t="s">
        <v>484</v>
      </c>
    </row>
    <row r="11" spans="1:12" s="120" customFormat="1" ht="20.100000000000001" customHeight="1" x14ac:dyDescent="0.25">
      <c r="A11" s="428"/>
      <c r="B11" s="253"/>
      <c r="C11" s="254" t="s">
        <v>453</v>
      </c>
      <c r="D11" s="174">
        <v>120000</v>
      </c>
      <c r="E11" s="440" t="s">
        <v>497</v>
      </c>
    </row>
    <row r="12" spans="1:12" s="120" customFormat="1" ht="20.100000000000001" customHeight="1" x14ac:dyDescent="0.25">
      <c r="A12" s="428"/>
      <c r="B12" s="253"/>
      <c r="C12" s="254" t="s">
        <v>445</v>
      </c>
      <c r="D12" s="174">
        <v>150000</v>
      </c>
      <c r="E12" s="175"/>
    </row>
    <row r="13" spans="1:12" s="120" customFormat="1" ht="20.100000000000001" customHeight="1" x14ac:dyDescent="0.25">
      <c r="A13" s="428"/>
      <c r="B13" s="253"/>
      <c r="C13" s="254" t="s">
        <v>450</v>
      </c>
      <c r="D13" s="174">
        <v>70000</v>
      </c>
      <c r="E13" s="438" t="s">
        <v>485</v>
      </c>
      <c r="H13" s="142"/>
    </row>
    <row r="14" spans="1:12" s="120" customFormat="1" ht="20.100000000000001" customHeight="1" x14ac:dyDescent="0.25">
      <c r="A14" s="428"/>
      <c r="B14" s="253"/>
      <c r="C14" s="254" t="s">
        <v>496</v>
      </c>
      <c r="D14" s="174">
        <v>55000</v>
      </c>
      <c r="E14" s="175"/>
    </row>
    <row r="15" spans="1:12" s="120" customFormat="1" ht="20.100000000000001" customHeight="1" x14ac:dyDescent="0.25">
      <c r="A15" s="428"/>
      <c r="B15" s="253"/>
      <c r="C15" s="254" t="s">
        <v>444</v>
      </c>
      <c r="D15" s="174">
        <v>50000</v>
      </c>
      <c r="E15" s="440" t="s">
        <v>495</v>
      </c>
    </row>
    <row r="16" spans="1:12" s="120" customFormat="1" ht="20.100000000000001" customHeight="1" x14ac:dyDescent="0.25">
      <c r="A16" s="428"/>
      <c r="B16" s="253"/>
      <c r="C16" s="254" t="s">
        <v>449</v>
      </c>
      <c r="D16" s="174">
        <v>35000</v>
      </c>
      <c r="E16" s="438" t="s">
        <v>486</v>
      </c>
    </row>
    <row r="17" spans="1:5" s="120" customFormat="1" ht="20.100000000000001" customHeight="1" x14ac:dyDescent="0.25">
      <c r="A17" s="428"/>
      <c r="B17" s="253"/>
      <c r="C17" s="254" t="s">
        <v>446</v>
      </c>
      <c r="D17" s="174">
        <v>25000</v>
      </c>
      <c r="E17" s="175"/>
    </row>
    <row r="18" spans="1:5" s="120" customFormat="1" ht="20.100000000000001" customHeight="1" x14ac:dyDescent="0.25">
      <c r="A18" s="428"/>
      <c r="B18" s="253"/>
      <c r="C18" s="254" t="s">
        <v>448</v>
      </c>
      <c r="D18" s="174">
        <v>20000</v>
      </c>
      <c r="E18" s="438" t="s">
        <v>487</v>
      </c>
    </row>
    <row r="19" spans="1:5" s="120" customFormat="1" ht="20.100000000000001" customHeight="1" x14ac:dyDescent="0.25">
      <c r="A19" s="428"/>
      <c r="B19" s="253"/>
      <c r="C19" s="254" t="s">
        <v>447</v>
      </c>
      <c r="D19" s="174">
        <v>1000</v>
      </c>
      <c r="E19" s="175"/>
    </row>
    <row r="20" spans="1:5" s="120" customFormat="1" ht="20.100000000000001" customHeight="1" x14ac:dyDescent="0.25">
      <c r="A20" s="428"/>
      <c r="B20" s="253"/>
      <c r="C20" s="254"/>
      <c r="D20" s="174"/>
      <c r="E20" s="175"/>
    </row>
    <row r="21" spans="1:5" s="120" customFormat="1" ht="20.100000000000001" customHeight="1" x14ac:dyDescent="0.25">
      <c r="A21" s="428"/>
      <c r="B21" s="253"/>
      <c r="C21" s="254"/>
      <c r="D21" s="174"/>
      <c r="E21" s="175"/>
    </row>
    <row r="22" spans="1:5" s="120" customFormat="1" ht="20.100000000000001" customHeight="1" x14ac:dyDescent="0.25">
      <c r="A22" s="427">
        <v>502</v>
      </c>
      <c r="B22" s="255" t="s">
        <v>276</v>
      </c>
      <c r="C22" s="256" t="s">
        <v>140</v>
      </c>
      <c r="D22" s="390">
        <f>SUM(D23:D27)</f>
        <v>1355000</v>
      </c>
      <c r="E22" s="440"/>
    </row>
    <row r="23" spans="1:5" s="120" customFormat="1" ht="20.100000000000001" customHeight="1" x14ac:dyDescent="0.25">
      <c r="A23" s="428"/>
      <c r="B23" s="253"/>
      <c r="C23" s="254" t="s">
        <v>482</v>
      </c>
      <c r="D23" s="174">
        <v>600000</v>
      </c>
      <c r="E23" s="175"/>
    </row>
    <row r="24" spans="1:5" s="120" customFormat="1" ht="20.100000000000001" customHeight="1" x14ac:dyDescent="0.25">
      <c r="A24" s="428"/>
      <c r="B24" s="253"/>
      <c r="C24" s="254" t="s">
        <v>483</v>
      </c>
      <c r="D24" s="174">
        <v>550000</v>
      </c>
      <c r="E24" s="175"/>
    </row>
    <row r="25" spans="1:5" s="120" customFormat="1" ht="20.100000000000001" customHeight="1" x14ac:dyDescent="0.25">
      <c r="A25" s="428"/>
      <c r="B25" s="253"/>
      <c r="C25" s="254" t="s">
        <v>456</v>
      </c>
      <c r="D25" s="174">
        <v>90000</v>
      </c>
      <c r="E25" s="175"/>
    </row>
    <row r="26" spans="1:5" s="120" customFormat="1" ht="20.100000000000001" customHeight="1" x14ac:dyDescent="0.25">
      <c r="A26" s="428"/>
      <c r="B26" s="252"/>
      <c r="C26" s="257" t="s">
        <v>457</v>
      </c>
      <c r="D26" s="176">
        <v>115000</v>
      </c>
      <c r="E26" s="175"/>
    </row>
    <row r="27" spans="1:5" s="120" customFormat="1" ht="20.100000000000001" customHeight="1" x14ac:dyDescent="0.25">
      <c r="A27" s="428"/>
      <c r="B27" s="252"/>
      <c r="C27" s="257"/>
      <c r="D27" s="176"/>
      <c r="E27" s="175"/>
    </row>
    <row r="28" spans="1:5" s="120" customFormat="1" ht="20.100000000000001" customHeight="1" x14ac:dyDescent="0.25">
      <c r="A28" s="472" t="s">
        <v>9</v>
      </c>
      <c r="B28" s="473"/>
      <c r="C28" s="474"/>
      <c r="D28" s="391">
        <f>D29+D45</f>
        <v>1876000</v>
      </c>
      <c r="E28" s="122"/>
    </row>
    <row r="29" spans="1:5" s="120" customFormat="1" ht="20.100000000000001" customHeight="1" x14ac:dyDescent="0.25">
      <c r="A29" s="427">
        <v>511</v>
      </c>
      <c r="B29" s="258" t="s">
        <v>276</v>
      </c>
      <c r="C29" s="259" t="s">
        <v>10</v>
      </c>
      <c r="D29" s="390">
        <f>SUM(D30:D44)</f>
        <v>270000</v>
      </c>
      <c r="E29" s="175"/>
    </row>
    <row r="30" spans="1:5" s="120" customFormat="1" ht="20.100000000000001" customHeight="1" x14ac:dyDescent="0.25">
      <c r="A30" s="428"/>
      <c r="B30" s="252"/>
      <c r="C30" s="257" t="s">
        <v>459</v>
      </c>
      <c r="D30" s="176">
        <v>200000</v>
      </c>
      <c r="E30" s="440" t="s">
        <v>498</v>
      </c>
    </row>
    <row r="31" spans="1:5" s="120" customFormat="1" ht="20.100000000000001" customHeight="1" x14ac:dyDescent="0.25">
      <c r="A31" s="428"/>
      <c r="B31" s="252"/>
      <c r="C31" s="257" t="s">
        <v>458</v>
      </c>
      <c r="D31" s="176">
        <v>70000</v>
      </c>
      <c r="E31" s="440" t="s">
        <v>499</v>
      </c>
    </row>
    <row r="32" spans="1:5" s="120" customFormat="1" ht="20.100000000000001" customHeight="1" x14ac:dyDescent="0.25">
      <c r="A32" s="428"/>
      <c r="B32" s="252"/>
      <c r="C32" s="257"/>
      <c r="D32" s="176"/>
      <c r="E32" s="175"/>
    </row>
    <row r="33" spans="1:5" s="120" customFormat="1" ht="20.100000000000001" customHeight="1" x14ac:dyDescent="0.25">
      <c r="A33" s="428"/>
      <c r="B33" s="253"/>
      <c r="C33" s="254"/>
      <c r="D33" s="174"/>
      <c r="E33" s="175"/>
    </row>
    <row r="34" spans="1:5" s="120" customFormat="1" ht="20.100000000000001" customHeight="1" x14ac:dyDescent="0.25">
      <c r="A34" s="428"/>
      <c r="B34" s="253"/>
      <c r="C34" s="254"/>
      <c r="D34" s="174"/>
      <c r="E34" s="175"/>
    </row>
    <row r="35" spans="1:5" s="120" customFormat="1" ht="20.100000000000001" customHeight="1" x14ac:dyDescent="0.25">
      <c r="A35" s="428"/>
      <c r="B35" s="253"/>
      <c r="C35" s="254"/>
      <c r="D35" s="174"/>
      <c r="E35" s="175"/>
    </row>
    <row r="36" spans="1:5" s="120" customFormat="1" ht="20.100000000000001" customHeight="1" x14ac:dyDescent="0.25">
      <c r="A36" s="428"/>
      <c r="B36" s="252"/>
      <c r="C36" s="257"/>
      <c r="D36" s="176"/>
      <c r="E36" s="175"/>
    </row>
    <row r="37" spans="1:5" s="120" customFormat="1" ht="20.100000000000001" customHeight="1" x14ac:dyDescent="0.25">
      <c r="A37" s="428"/>
      <c r="B37" s="252"/>
      <c r="C37" s="257"/>
      <c r="D37" s="176"/>
      <c r="E37" s="175"/>
    </row>
    <row r="38" spans="1:5" s="120" customFormat="1" ht="20.100000000000001" customHeight="1" x14ac:dyDescent="0.25">
      <c r="A38" s="428"/>
      <c r="B38" s="252"/>
      <c r="C38" s="257"/>
      <c r="D38" s="176"/>
      <c r="E38" s="175"/>
    </row>
    <row r="39" spans="1:5" s="120" customFormat="1" ht="20.100000000000001" customHeight="1" x14ac:dyDescent="0.25">
      <c r="A39" s="428"/>
      <c r="B39" s="252"/>
      <c r="C39" s="260"/>
      <c r="D39" s="176"/>
      <c r="E39" s="175"/>
    </row>
    <row r="40" spans="1:5" s="120" customFormat="1" ht="20.100000000000001" customHeight="1" x14ac:dyDescent="0.25">
      <c r="A40" s="428"/>
      <c r="B40" s="252"/>
      <c r="C40" s="260"/>
      <c r="D40" s="176"/>
      <c r="E40" s="175"/>
    </row>
    <row r="41" spans="1:5" s="120" customFormat="1" ht="20.100000000000001" customHeight="1" x14ac:dyDescent="0.25">
      <c r="A41" s="428"/>
      <c r="B41" s="252"/>
      <c r="C41" s="260"/>
      <c r="D41" s="176"/>
      <c r="E41" s="175"/>
    </row>
    <row r="42" spans="1:5" s="120" customFormat="1" ht="20.100000000000001" customHeight="1" x14ac:dyDescent="0.25">
      <c r="A42" s="428"/>
      <c r="B42" s="252"/>
      <c r="C42" s="260"/>
      <c r="D42" s="176"/>
      <c r="E42" s="175"/>
    </row>
    <row r="43" spans="1:5" s="120" customFormat="1" ht="20.100000000000001" customHeight="1" x14ac:dyDescent="0.25">
      <c r="A43" s="428"/>
      <c r="B43" s="252"/>
      <c r="C43" s="260"/>
      <c r="D43" s="176"/>
      <c r="E43" s="175"/>
    </row>
    <row r="44" spans="1:5" s="120" customFormat="1" ht="20.100000000000001" customHeight="1" x14ac:dyDescent="0.25">
      <c r="A44" s="428"/>
      <c r="B44" s="252"/>
      <c r="C44" s="257"/>
      <c r="D44" s="176"/>
      <c r="E44" s="175"/>
    </row>
    <row r="45" spans="1:5" s="120" customFormat="1" ht="20.100000000000001" customHeight="1" x14ac:dyDescent="0.25">
      <c r="A45" s="427">
        <v>518</v>
      </c>
      <c r="B45" s="249" t="s">
        <v>276</v>
      </c>
      <c r="C45" s="261" t="s">
        <v>13</v>
      </c>
      <c r="D45" s="392">
        <f>SUM(D46:D60)</f>
        <v>1606000</v>
      </c>
      <c r="E45" s="175"/>
    </row>
    <row r="46" spans="1:5" s="120" customFormat="1" ht="20.100000000000001" customHeight="1" x14ac:dyDescent="0.25">
      <c r="A46" s="428"/>
      <c r="B46" s="252"/>
      <c r="C46" s="257" t="s">
        <v>466</v>
      </c>
      <c r="D46" s="176">
        <v>340000</v>
      </c>
      <c r="E46" s="439" t="s">
        <v>494</v>
      </c>
    </row>
    <row r="47" spans="1:5" s="120" customFormat="1" ht="20.100000000000001" customHeight="1" x14ac:dyDescent="0.25">
      <c r="A47" s="428"/>
      <c r="B47" s="252"/>
      <c r="C47" s="257" t="s">
        <v>465</v>
      </c>
      <c r="D47" s="176">
        <v>270000</v>
      </c>
      <c r="E47" s="438" t="s">
        <v>488</v>
      </c>
    </row>
    <row r="48" spans="1:5" s="120" customFormat="1" ht="20.100000000000001" customHeight="1" x14ac:dyDescent="0.25">
      <c r="A48" s="428"/>
      <c r="B48" s="252"/>
      <c r="C48" s="257" t="s">
        <v>469</v>
      </c>
      <c r="D48" s="176">
        <v>200000</v>
      </c>
      <c r="E48" s="175"/>
    </row>
    <row r="49" spans="1:5" s="120" customFormat="1" ht="20.100000000000001" customHeight="1" x14ac:dyDescent="0.25">
      <c r="A49" s="428"/>
      <c r="B49" s="252"/>
      <c r="C49" s="257" t="s">
        <v>463</v>
      </c>
      <c r="D49" s="176">
        <v>170000</v>
      </c>
      <c r="E49" s="175"/>
    </row>
    <row r="50" spans="1:5" s="120" customFormat="1" ht="20.100000000000001" customHeight="1" x14ac:dyDescent="0.25">
      <c r="A50" s="428"/>
      <c r="B50" s="252"/>
      <c r="C50" s="257" t="s">
        <v>467</v>
      </c>
      <c r="D50" s="176">
        <v>132000</v>
      </c>
      <c r="E50" s="175"/>
    </row>
    <row r="51" spans="1:5" s="120" customFormat="1" ht="20.100000000000001" customHeight="1" x14ac:dyDescent="0.25">
      <c r="A51" s="428"/>
      <c r="B51" s="252"/>
      <c r="C51" s="257" t="s">
        <v>462</v>
      </c>
      <c r="D51" s="176">
        <v>105000</v>
      </c>
      <c r="E51" s="175" t="s">
        <v>490</v>
      </c>
    </row>
    <row r="52" spans="1:5" s="120" customFormat="1" ht="20.100000000000001" customHeight="1" x14ac:dyDescent="0.25">
      <c r="A52" s="428"/>
      <c r="B52" s="252"/>
      <c r="C52" s="257" t="s">
        <v>461</v>
      </c>
      <c r="D52" s="176">
        <v>75000</v>
      </c>
      <c r="E52" s="439" t="s">
        <v>491</v>
      </c>
    </row>
    <row r="53" spans="1:5" s="120" customFormat="1" ht="20.100000000000001" customHeight="1" x14ac:dyDescent="0.25">
      <c r="A53" s="428"/>
      <c r="B53" s="252"/>
      <c r="C53" s="257" t="s">
        <v>470</v>
      </c>
      <c r="D53" s="176">
        <v>80000</v>
      </c>
      <c r="E53" s="438" t="s">
        <v>489</v>
      </c>
    </row>
    <row r="54" spans="1:5" s="120" customFormat="1" ht="20.100000000000001" customHeight="1" x14ac:dyDescent="0.25">
      <c r="A54" s="428"/>
      <c r="B54" s="252"/>
      <c r="C54" s="257" t="s">
        <v>468</v>
      </c>
      <c r="D54" s="176">
        <v>60000</v>
      </c>
      <c r="E54" s="438"/>
    </row>
    <row r="55" spans="1:5" s="120" customFormat="1" ht="20.100000000000001" customHeight="1" x14ac:dyDescent="0.25">
      <c r="A55" s="428"/>
      <c r="B55" s="252"/>
      <c r="C55" s="257" t="s">
        <v>471</v>
      </c>
      <c r="D55" s="176">
        <v>60000</v>
      </c>
      <c r="E55" s="175"/>
    </row>
    <row r="56" spans="1:5" s="120" customFormat="1" ht="20.100000000000001" customHeight="1" x14ac:dyDescent="0.25">
      <c r="A56" s="428"/>
      <c r="B56" s="252"/>
      <c r="C56" s="257" t="s">
        <v>472</v>
      </c>
      <c r="D56" s="176">
        <v>40000</v>
      </c>
      <c r="E56" s="175"/>
    </row>
    <row r="57" spans="1:5" s="120" customFormat="1" ht="20.100000000000001" customHeight="1" x14ac:dyDescent="0.25">
      <c r="A57" s="428"/>
      <c r="B57" s="252"/>
      <c r="C57" s="257" t="s">
        <v>493</v>
      </c>
      <c r="D57" s="176">
        <v>35000</v>
      </c>
      <c r="E57" s="439" t="s">
        <v>492</v>
      </c>
    </row>
    <row r="58" spans="1:5" s="120" customFormat="1" ht="20.100000000000001" customHeight="1" x14ac:dyDescent="0.25">
      <c r="A58" s="428"/>
      <c r="B58" s="252"/>
      <c r="C58" s="257" t="s">
        <v>473</v>
      </c>
      <c r="D58" s="176">
        <v>22000</v>
      </c>
      <c r="E58" s="175"/>
    </row>
    <row r="59" spans="1:5" s="120" customFormat="1" ht="20.100000000000001" customHeight="1" x14ac:dyDescent="0.25">
      <c r="A59" s="428"/>
      <c r="B59" s="252"/>
      <c r="C59" s="257" t="s">
        <v>464</v>
      </c>
      <c r="D59" s="176">
        <v>11000</v>
      </c>
      <c r="E59" s="175"/>
    </row>
    <row r="60" spans="1:5" s="120" customFormat="1" ht="20.100000000000001" customHeight="1" x14ac:dyDescent="0.25">
      <c r="A60" s="428"/>
      <c r="B60" s="252"/>
      <c r="C60" s="257" t="s">
        <v>460</v>
      </c>
      <c r="D60" s="176">
        <v>6000</v>
      </c>
      <c r="E60" s="175"/>
    </row>
    <row r="61" spans="1:5" s="120" customFormat="1" ht="20.100000000000001" customHeight="1" x14ac:dyDescent="0.25">
      <c r="A61" s="472" t="s">
        <v>20</v>
      </c>
      <c r="B61" s="473"/>
      <c r="C61" s="474"/>
      <c r="D61" s="391">
        <f>SUM(D62:D62)</f>
        <v>0</v>
      </c>
      <c r="E61" s="122" t="s">
        <v>200</v>
      </c>
    </row>
    <row r="62" spans="1:5" s="120" customFormat="1" ht="20.100000000000001" customHeight="1" x14ac:dyDescent="0.25">
      <c r="A62" s="427">
        <v>538</v>
      </c>
      <c r="B62" s="255" t="s">
        <v>276</v>
      </c>
      <c r="C62" s="256" t="s">
        <v>23</v>
      </c>
      <c r="D62" s="390">
        <f>SUM(D63:D64)</f>
        <v>0</v>
      </c>
      <c r="E62" s="175"/>
    </row>
    <row r="63" spans="1:5" s="120" customFormat="1" ht="20.100000000000001" customHeight="1" x14ac:dyDescent="0.25">
      <c r="A63" s="428"/>
      <c r="B63" s="252"/>
      <c r="C63" s="257"/>
      <c r="D63" s="177"/>
      <c r="E63" s="175"/>
    </row>
    <row r="64" spans="1:5" s="120" customFormat="1" ht="20.100000000000001" customHeight="1" x14ac:dyDescent="0.25">
      <c r="A64" s="428"/>
      <c r="B64" s="252"/>
      <c r="C64" s="257"/>
      <c r="D64" s="177"/>
      <c r="E64" s="175"/>
    </row>
    <row r="65" spans="1:5" s="120" customFormat="1" ht="20.100000000000001" customHeight="1" x14ac:dyDescent="0.25">
      <c r="A65" s="472" t="s">
        <v>24</v>
      </c>
      <c r="B65" s="473"/>
      <c r="C65" s="474"/>
      <c r="D65" s="393">
        <f>SUM(D66:D66)</f>
        <v>140000</v>
      </c>
      <c r="E65" s="122"/>
    </row>
    <row r="66" spans="1:5" s="120" customFormat="1" ht="20.100000000000001" customHeight="1" x14ac:dyDescent="0.25">
      <c r="A66" s="429">
        <v>549</v>
      </c>
      <c r="B66" s="262" t="s">
        <v>276</v>
      </c>
      <c r="C66" s="263" t="s">
        <v>31</v>
      </c>
      <c r="D66" s="390">
        <f>SUM(D67:DD68)</f>
        <v>140000</v>
      </c>
      <c r="E66" s="175"/>
    </row>
    <row r="67" spans="1:5" s="120" customFormat="1" ht="20.100000000000001" customHeight="1" x14ac:dyDescent="0.25">
      <c r="A67" s="428"/>
      <c r="B67" s="252"/>
      <c r="C67" s="257" t="s">
        <v>480</v>
      </c>
      <c r="D67" s="174">
        <v>100000</v>
      </c>
      <c r="E67" s="175"/>
    </row>
    <row r="68" spans="1:5" s="120" customFormat="1" ht="20.100000000000001" customHeight="1" x14ac:dyDescent="0.25">
      <c r="A68" s="428"/>
      <c r="B68" s="252"/>
      <c r="C68" s="257" t="s">
        <v>481</v>
      </c>
      <c r="D68" s="174">
        <v>40000</v>
      </c>
      <c r="E68" s="175"/>
    </row>
    <row r="69" spans="1:5" s="120" customFormat="1" ht="20.100000000000001" customHeight="1" x14ac:dyDescent="0.25">
      <c r="A69" s="472" t="s">
        <v>32</v>
      </c>
      <c r="B69" s="473"/>
      <c r="C69" s="474"/>
      <c r="D69" s="391">
        <f>SUM(D70:D70)</f>
        <v>100000</v>
      </c>
      <c r="E69" s="122"/>
    </row>
    <row r="70" spans="1:5" s="120" customFormat="1" ht="20.100000000000001" customHeight="1" x14ac:dyDescent="0.25">
      <c r="A70" s="429">
        <v>558</v>
      </c>
      <c r="B70" s="262" t="s">
        <v>276</v>
      </c>
      <c r="C70" s="263" t="s">
        <v>38</v>
      </c>
      <c r="D70" s="390">
        <f>SUM(D71:D85)</f>
        <v>100000</v>
      </c>
      <c r="E70" s="175"/>
    </row>
    <row r="71" spans="1:5" s="120" customFormat="1" ht="20.100000000000001" customHeight="1" x14ac:dyDescent="0.25">
      <c r="A71" s="430"/>
      <c r="B71" s="264"/>
      <c r="C71" s="265" t="s">
        <v>38</v>
      </c>
      <c r="D71" s="177">
        <v>100000</v>
      </c>
      <c r="E71" s="175"/>
    </row>
    <row r="72" spans="1:5" s="120" customFormat="1" ht="20.100000000000001" customHeight="1" x14ac:dyDescent="0.25">
      <c r="A72" s="430"/>
      <c r="B72" s="264"/>
      <c r="C72" s="265"/>
      <c r="D72" s="177"/>
      <c r="E72" s="175"/>
    </row>
    <row r="73" spans="1:5" s="120" customFormat="1" ht="20.100000000000001" customHeight="1" x14ac:dyDescent="0.25">
      <c r="A73" s="430"/>
      <c r="B73" s="264"/>
      <c r="C73" s="265"/>
      <c r="D73" s="177"/>
      <c r="E73" s="175"/>
    </row>
    <row r="74" spans="1:5" s="120" customFormat="1" ht="20.100000000000001" customHeight="1" x14ac:dyDescent="0.25">
      <c r="A74" s="430"/>
      <c r="B74" s="264"/>
      <c r="C74" s="265"/>
      <c r="D74" s="177"/>
      <c r="E74" s="175"/>
    </row>
    <row r="75" spans="1:5" s="120" customFormat="1" ht="20.100000000000001" customHeight="1" x14ac:dyDescent="0.25">
      <c r="A75" s="430"/>
      <c r="B75" s="264"/>
      <c r="C75" s="265"/>
      <c r="D75" s="177"/>
      <c r="E75" s="175"/>
    </row>
    <row r="76" spans="1:5" s="120" customFormat="1" ht="20.100000000000001" customHeight="1" x14ac:dyDescent="0.25">
      <c r="A76" s="430"/>
      <c r="B76" s="264"/>
      <c r="C76" s="265"/>
      <c r="D76" s="177"/>
      <c r="E76" s="175"/>
    </row>
    <row r="77" spans="1:5" s="120" customFormat="1" ht="20.100000000000001" customHeight="1" x14ac:dyDescent="0.25">
      <c r="A77" s="430"/>
      <c r="B77" s="264"/>
      <c r="C77" s="265"/>
      <c r="D77" s="177"/>
      <c r="E77" s="175"/>
    </row>
    <row r="78" spans="1:5" s="120" customFormat="1" ht="20.100000000000001" customHeight="1" x14ac:dyDescent="0.25">
      <c r="A78" s="430"/>
      <c r="B78" s="264"/>
      <c r="C78" s="265"/>
      <c r="D78" s="177"/>
      <c r="E78" s="175"/>
    </row>
    <row r="79" spans="1:5" s="120" customFormat="1" ht="20.100000000000001" customHeight="1" x14ac:dyDescent="0.25">
      <c r="A79" s="428"/>
      <c r="B79" s="252"/>
      <c r="C79" s="257"/>
      <c r="D79" s="177"/>
      <c r="E79" s="175"/>
    </row>
    <row r="80" spans="1:5" s="120" customFormat="1" ht="20.100000000000001" customHeight="1" x14ac:dyDescent="0.25">
      <c r="A80" s="428"/>
      <c r="B80" s="252"/>
      <c r="C80" s="257"/>
      <c r="D80" s="177"/>
      <c r="E80" s="175"/>
    </row>
    <row r="81" spans="1:5" s="120" customFormat="1" ht="20.100000000000001" customHeight="1" x14ac:dyDescent="0.25">
      <c r="A81" s="428"/>
      <c r="B81" s="252"/>
      <c r="C81" s="257"/>
      <c r="D81" s="177"/>
      <c r="E81" s="175"/>
    </row>
    <row r="82" spans="1:5" s="120" customFormat="1" ht="20.100000000000001" customHeight="1" x14ac:dyDescent="0.25">
      <c r="A82" s="428"/>
      <c r="B82" s="252"/>
      <c r="C82" s="257"/>
      <c r="D82" s="177"/>
      <c r="E82" s="175"/>
    </row>
    <row r="83" spans="1:5" s="120" customFormat="1" ht="20.100000000000001" customHeight="1" x14ac:dyDescent="0.25">
      <c r="A83" s="428"/>
      <c r="B83" s="252"/>
      <c r="C83" s="257"/>
      <c r="D83" s="177"/>
      <c r="E83" s="175"/>
    </row>
    <row r="84" spans="1:5" s="120" customFormat="1" ht="20.100000000000001" customHeight="1" x14ac:dyDescent="0.25">
      <c r="A84" s="428"/>
      <c r="B84" s="252"/>
      <c r="C84" s="257"/>
      <c r="D84" s="177"/>
      <c r="E84" s="175"/>
    </row>
    <row r="85" spans="1:5" s="120" customFormat="1" ht="20.100000000000001" customHeight="1" thickBot="1" x14ac:dyDescent="0.3">
      <c r="A85" s="431"/>
      <c r="B85" s="432"/>
      <c r="C85" s="433"/>
      <c r="D85" s="434"/>
      <c r="E85" s="435"/>
    </row>
    <row r="86" spans="1:5" s="120" customFormat="1" x14ac:dyDescent="0.25">
      <c r="D86" s="123"/>
    </row>
    <row r="87" spans="1:5" s="120" customFormat="1" x14ac:dyDescent="0.25">
      <c r="D87" s="123"/>
    </row>
    <row r="88" spans="1:5" s="120" customFormat="1" x14ac:dyDescent="0.25">
      <c r="D88" s="123"/>
    </row>
    <row r="89" spans="1:5" s="120" customFormat="1" x14ac:dyDescent="0.25">
      <c r="D89" s="123"/>
    </row>
    <row r="90" spans="1:5" s="120" customFormat="1" x14ac:dyDescent="0.25">
      <c r="D90" s="123"/>
    </row>
    <row r="91" spans="1:5" s="120" customFormat="1" x14ac:dyDescent="0.25">
      <c r="D91" s="123"/>
    </row>
    <row r="92" spans="1:5" s="120" customFormat="1" x14ac:dyDescent="0.25">
      <c r="D92" s="123"/>
    </row>
    <row r="93" spans="1:5" s="120" customFormat="1" x14ac:dyDescent="0.25">
      <c r="D93" s="123"/>
    </row>
    <row r="94" spans="1:5" s="120" customFormat="1" x14ac:dyDescent="0.25">
      <c r="D94" s="123"/>
    </row>
    <row r="95" spans="1:5" s="120" customFormat="1" x14ac:dyDescent="0.25">
      <c r="D95" s="123"/>
    </row>
    <row r="96" spans="1:5" s="120" customFormat="1" x14ac:dyDescent="0.25">
      <c r="D96" s="123"/>
    </row>
    <row r="97" spans="4:4" s="120" customFormat="1" x14ac:dyDescent="0.25">
      <c r="D97" s="123"/>
    </row>
    <row r="98" spans="4:4" s="120" customFormat="1" x14ac:dyDescent="0.25">
      <c r="D98" s="123"/>
    </row>
    <row r="99" spans="4:4" s="120" customFormat="1" x14ac:dyDescent="0.25">
      <c r="D99" s="123"/>
    </row>
    <row r="100" spans="4:4" s="120" customFormat="1" x14ac:dyDescent="0.25">
      <c r="D100" s="123"/>
    </row>
    <row r="101" spans="4:4" s="120" customFormat="1" x14ac:dyDescent="0.25">
      <c r="D101" s="123"/>
    </row>
    <row r="102" spans="4:4" s="120" customFormat="1" x14ac:dyDescent="0.25">
      <c r="D102" s="123"/>
    </row>
    <row r="103" spans="4:4" s="120" customFormat="1" x14ac:dyDescent="0.25">
      <c r="D103" s="123"/>
    </row>
    <row r="104" spans="4:4" s="120" customFormat="1" x14ac:dyDescent="0.25">
      <c r="D104" s="123"/>
    </row>
    <row r="105" spans="4:4" s="120" customFormat="1" x14ac:dyDescent="0.25">
      <c r="D105" s="123"/>
    </row>
    <row r="106" spans="4:4" s="120" customFormat="1" x14ac:dyDescent="0.25">
      <c r="D106" s="123"/>
    </row>
    <row r="107" spans="4:4" s="120" customFormat="1" x14ac:dyDescent="0.25">
      <c r="D107" s="123"/>
    </row>
    <row r="108" spans="4:4" s="120" customFormat="1" x14ac:dyDescent="0.25">
      <c r="D108" s="123"/>
    </row>
    <row r="109" spans="4:4" s="120" customFormat="1" x14ac:dyDescent="0.25">
      <c r="D109" s="123"/>
    </row>
    <row r="110" spans="4:4" s="120" customFormat="1" x14ac:dyDescent="0.25">
      <c r="D110" s="123"/>
    </row>
    <row r="111" spans="4:4" s="120" customFormat="1" x14ac:dyDescent="0.25">
      <c r="D111" s="123"/>
    </row>
    <row r="112" spans="4:4" s="120" customFormat="1" x14ac:dyDescent="0.25">
      <c r="D112" s="123"/>
    </row>
    <row r="113" spans="4:4" s="120" customFormat="1" x14ac:dyDescent="0.25">
      <c r="D113" s="123"/>
    </row>
    <row r="114" spans="4:4" s="120" customFormat="1" x14ac:dyDescent="0.25">
      <c r="D114" s="123"/>
    </row>
    <row r="115" spans="4:4" s="120" customFormat="1" x14ac:dyDescent="0.25">
      <c r="D115" s="123"/>
    </row>
    <row r="116" spans="4:4" s="120" customFormat="1" x14ac:dyDescent="0.25">
      <c r="D116" s="123"/>
    </row>
    <row r="117" spans="4:4" s="120" customFormat="1" x14ac:dyDescent="0.25">
      <c r="D117" s="123"/>
    </row>
    <row r="118" spans="4:4" s="120" customFormat="1" x14ac:dyDescent="0.25">
      <c r="D118" s="123"/>
    </row>
    <row r="119" spans="4:4" s="120" customFormat="1" x14ac:dyDescent="0.25">
      <c r="D119" s="123"/>
    </row>
    <row r="120" spans="4:4" s="120" customFormat="1" x14ac:dyDescent="0.25">
      <c r="D120" s="123"/>
    </row>
    <row r="121" spans="4:4" s="120" customFormat="1" x14ac:dyDescent="0.25">
      <c r="D121" s="123"/>
    </row>
    <row r="122" spans="4:4" s="120" customFormat="1" x14ac:dyDescent="0.25">
      <c r="D122" s="123"/>
    </row>
    <row r="123" spans="4:4" s="120" customFormat="1" x14ac:dyDescent="0.25">
      <c r="D123" s="123"/>
    </row>
    <row r="124" spans="4:4" s="120" customFormat="1" x14ac:dyDescent="0.25">
      <c r="D124" s="123"/>
    </row>
    <row r="125" spans="4:4" s="120" customFormat="1" x14ac:dyDescent="0.25">
      <c r="D125" s="123"/>
    </row>
    <row r="126" spans="4:4" s="120" customFormat="1" x14ac:dyDescent="0.25">
      <c r="D126" s="123"/>
    </row>
    <row r="127" spans="4:4" s="120" customFormat="1" x14ac:dyDescent="0.25">
      <c r="D127" s="123"/>
    </row>
    <row r="128" spans="4:4" s="120" customFormat="1" x14ac:dyDescent="0.25">
      <c r="D128" s="123"/>
    </row>
    <row r="129" spans="4:4" s="120" customFormat="1" x14ac:dyDescent="0.25">
      <c r="D129" s="123"/>
    </row>
    <row r="130" spans="4:4" s="120" customFormat="1" x14ac:dyDescent="0.25">
      <c r="D130" s="123"/>
    </row>
    <row r="131" spans="4:4" s="120" customFormat="1" x14ac:dyDescent="0.25">
      <c r="D131" s="123"/>
    </row>
    <row r="132" spans="4:4" s="120" customFormat="1" x14ac:dyDescent="0.25">
      <c r="D132" s="123"/>
    </row>
    <row r="133" spans="4:4" s="120" customFormat="1" x14ac:dyDescent="0.25">
      <c r="D133" s="123"/>
    </row>
    <row r="134" spans="4:4" s="120" customFormat="1" x14ac:dyDescent="0.25">
      <c r="D134" s="123"/>
    </row>
    <row r="135" spans="4:4" s="120" customFormat="1" x14ac:dyDescent="0.25">
      <c r="D135" s="123"/>
    </row>
    <row r="136" spans="4:4" s="120" customFormat="1" x14ac:dyDescent="0.25">
      <c r="D136" s="123"/>
    </row>
    <row r="137" spans="4:4" s="120" customFormat="1" x14ac:dyDescent="0.25">
      <c r="D137" s="123"/>
    </row>
    <row r="138" spans="4:4" s="120" customFormat="1" x14ac:dyDescent="0.25">
      <c r="D138" s="123"/>
    </row>
    <row r="139" spans="4:4" s="120" customFormat="1" x14ac:dyDescent="0.25">
      <c r="D139" s="123"/>
    </row>
    <row r="140" spans="4:4" s="120" customFormat="1" x14ac:dyDescent="0.25">
      <c r="D140" s="123"/>
    </row>
    <row r="141" spans="4:4" s="120" customFormat="1" x14ac:dyDescent="0.25">
      <c r="D141" s="123"/>
    </row>
    <row r="142" spans="4:4" s="120" customFormat="1" x14ac:dyDescent="0.25">
      <c r="D142" s="123"/>
    </row>
    <row r="143" spans="4:4" s="120" customFormat="1" x14ac:dyDescent="0.25">
      <c r="D143" s="123"/>
    </row>
    <row r="144" spans="4:4" s="120" customFormat="1" x14ac:dyDescent="0.25">
      <c r="D144" s="123"/>
    </row>
    <row r="145" spans="4:4" s="120" customFormat="1" x14ac:dyDescent="0.25">
      <c r="D145" s="123"/>
    </row>
    <row r="146" spans="4:4" s="120" customFormat="1" x14ac:dyDescent="0.25">
      <c r="D146" s="123"/>
    </row>
    <row r="147" spans="4:4" s="120" customFormat="1" x14ac:dyDescent="0.25">
      <c r="D147" s="123"/>
    </row>
    <row r="148" spans="4:4" s="120" customFormat="1" x14ac:dyDescent="0.25">
      <c r="D148" s="123"/>
    </row>
    <row r="149" spans="4:4" s="120" customFormat="1" x14ac:dyDescent="0.25">
      <c r="D149" s="123"/>
    </row>
    <row r="150" spans="4:4" s="120" customFormat="1" x14ac:dyDescent="0.25">
      <c r="D150" s="123"/>
    </row>
    <row r="151" spans="4:4" s="120" customFormat="1" x14ac:dyDescent="0.25">
      <c r="D151" s="123"/>
    </row>
    <row r="152" spans="4:4" s="120" customFormat="1" x14ac:dyDescent="0.25">
      <c r="D152" s="123"/>
    </row>
    <row r="153" spans="4:4" s="120" customFormat="1" x14ac:dyDescent="0.25">
      <c r="D153" s="123"/>
    </row>
    <row r="154" spans="4:4" s="120" customFormat="1" x14ac:dyDescent="0.25">
      <c r="D154" s="123"/>
    </row>
    <row r="155" spans="4:4" s="120" customFormat="1" x14ac:dyDescent="0.25">
      <c r="D155" s="123"/>
    </row>
    <row r="156" spans="4:4" s="120" customFormat="1" x14ac:dyDescent="0.25">
      <c r="D156" s="123"/>
    </row>
    <row r="157" spans="4:4" s="120" customFormat="1" x14ac:dyDescent="0.25">
      <c r="D157" s="123"/>
    </row>
    <row r="158" spans="4:4" s="120" customFormat="1" x14ac:dyDescent="0.25">
      <c r="D158" s="123"/>
    </row>
    <row r="159" spans="4:4" s="120" customFormat="1" x14ac:dyDescent="0.25">
      <c r="D159" s="123"/>
    </row>
    <row r="160" spans="4:4" s="120" customFormat="1" x14ac:dyDescent="0.25">
      <c r="D160" s="123"/>
    </row>
    <row r="161" spans="4:4" s="120" customFormat="1" x14ac:dyDescent="0.25">
      <c r="D161" s="123"/>
    </row>
    <row r="162" spans="4:4" s="120" customFormat="1" x14ac:dyDescent="0.25">
      <c r="D162" s="123"/>
    </row>
  </sheetData>
  <sheetProtection algorithmName="SHA-512" hashValue="zbQQpvamTzlBPEZmF6j85puQ7DvANT5T6iO9/tMyQuHxsx2pV0LL0MI016frpGrbF346fjOEACOaGCwVFGbpXA==" saltValue="khZ+rzGhSXRYBP95oPQXQg==" spinCount="100000" sheet="1" selectLockedCells="1"/>
  <mergeCells count="6">
    <mergeCell ref="A65:C65"/>
    <mergeCell ref="A69:C69"/>
    <mergeCell ref="A28:C28"/>
    <mergeCell ref="A61:C61"/>
    <mergeCell ref="A1:E1"/>
    <mergeCell ref="A2:E2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45" fitToHeight="0" orientation="portrait" r:id="rId1"/>
  <headerFooter>
    <oddHeader>&amp;R&amp;"Arial CE,Tučné"P1a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8"/>
  <sheetViews>
    <sheetView showGridLines="0" topLeftCell="A11" zoomScaleNormal="100" zoomScaleSheetLayoutView="100" workbookViewId="0">
      <selection activeCell="J27" sqref="J27"/>
    </sheetView>
  </sheetViews>
  <sheetFormatPr defaultRowHeight="12.75" x14ac:dyDescent="0.2"/>
  <cols>
    <col min="1" max="1" width="7.140625" customWidth="1"/>
    <col min="2" max="2" width="5.7109375" customWidth="1"/>
    <col min="3" max="3" width="49.28515625" customWidth="1"/>
    <col min="4" max="5" width="13" customWidth="1"/>
    <col min="6" max="6" width="13" style="10" customWidth="1"/>
    <col min="7" max="8" width="10.85546875" style="10" bestFit="1" customWidth="1"/>
  </cols>
  <sheetData>
    <row r="1" spans="1:6" s="3" customFormat="1" ht="14.1" customHeight="1" x14ac:dyDescent="0.25">
      <c r="A1" s="480" t="s">
        <v>413</v>
      </c>
      <c r="B1" s="480"/>
      <c r="C1" s="480"/>
      <c r="D1" s="480"/>
      <c r="E1" s="480"/>
      <c r="F1" s="480"/>
    </row>
    <row r="2" spans="1:6" s="3" customFormat="1" ht="14.1" customHeight="1" x14ac:dyDescent="0.25">
      <c r="A2" s="481" t="str">
        <f>Úvod!B7</f>
        <v>Domov Raspenava, příspěvková organizace</v>
      </c>
      <c r="B2" s="481"/>
      <c r="C2" s="481"/>
      <c r="D2" s="481"/>
      <c r="E2" s="481"/>
      <c r="F2" s="481"/>
    </row>
    <row r="3" spans="1:6" s="3" customFormat="1" ht="14.1" customHeight="1" thickBot="1" x14ac:dyDescent="0.3">
      <c r="A3" s="13"/>
      <c r="B3" s="13"/>
      <c r="C3" s="13"/>
      <c r="D3" s="53"/>
      <c r="E3" s="53"/>
      <c r="F3" s="53"/>
    </row>
    <row r="4" spans="1:6" s="3" customFormat="1" ht="15" customHeight="1" thickBot="1" x14ac:dyDescent="0.3">
      <c r="A4" s="475" t="s">
        <v>206</v>
      </c>
      <c r="B4" s="476"/>
      <c r="C4" s="476"/>
      <c r="D4" s="476"/>
      <c r="E4" s="476"/>
      <c r="F4" s="477"/>
    </row>
    <row r="5" spans="1:6" s="3" customFormat="1" ht="15" customHeight="1" thickBot="1" x14ac:dyDescent="0.25">
      <c r="A5" s="478"/>
      <c r="B5" s="479"/>
      <c r="C5" s="479"/>
      <c r="D5" s="479"/>
      <c r="E5" s="479"/>
      <c r="F5" s="479"/>
    </row>
    <row r="6" spans="1:6" s="3" customFormat="1" ht="18.75" customHeight="1" thickBot="1" x14ac:dyDescent="0.25">
      <c r="A6" s="127" t="s">
        <v>390</v>
      </c>
      <c r="B6" s="22" t="s">
        <v>391</v>
      </c>
      <c r="C6" s="22" t="s">
        <v>392</v>
      </c>
      <c r="D6" s="35" t="s">
        <v>294</v>
      </c>
      <c r="E6" s="35" t="s">
        <v>295</v>
      </c>
      <c r="F6" s="126" t="s">
        <v>296</v>
      </c>
    </row>
    <row r="7" spans="1:6" s="3" customFormat="1" ht="15" customHeight="1" thickBot="1" x14ac:dyDescent="0.3">
      <c r="A7" s="15" t="s">
        <v>297</v>
      </c>
      <c r="B7" s="146"/>
      <c r="C7" s="147" t="s">
        <v>134</v>
      </c>
      <c r="D7" s="42">
        <f>SUM(D8:D16)</f>
        <v>0</v>
      </c>
      <c r="E7" s="42">
        <f>SUM(E8:E16)</f>
        <v>0</v>
      </c>
      <c r="F7" s="50">
        <f>SUM(F8:F16)</f>
        <v>0</v>
      </c>
    </row>
    <row r="8" spans="1:6" s="3" customFormat="1" ht="15" customHeight="1" x14ac:dyDescent="0.25">
      <c r="A8" s="14" t="s">
        <v>298</v>
      </c>
      <c r="B8" s="144">
        <v>50</v>
      </c>
      <c r="C8" s="145" t="s">
        <v>108</v>
      </c>
      <c r="D8" s="150"/>
      <c r="E8" s="151"/>
      <c r="F8" s="152"/>
    </row>
    <row r="9" spans="1:6" s="3" customFormat="1" ht="15" customHeight="1" x14ac:dyDescent="0.25">
      <c r="A9" s="14" t="s">
        <v>299</v>
      </c>
      <c r="B9" s="24">
        <v>51</v>
      </c>
      <c r="C9" s="29" t="s">
        <v>109</v>
      </c>
      <c r="D9" s="131"/>
      <c r="E9" s="153"/>
      <c r="F9" s="132"/>
    </row>
    <row r="10" spans="1:6" s="3" customFormat="1" ht="15" customHeight="1" x14ac:dyDescent="0.25">
      <c r="A10" s="14" t="s">
        <v>300</v>
      </c>
      <c r="B10" s="24">
        <v>52</v>
      </c>
      <c r="C10" s="29" t="s">
        <v>110</v>
      </c>
      <c r="D10" s="131"/>
      <c r="E10" s="153"/>
      <c r="F10" s="132"/>
    </row>
    <row r="11" spans="1:6" s="3" customFormat="1" ht="15" customHeight="1" x14ac:dyDescent="0.25">
      <c r="A11" s="14" t="s">
        <v>301</v>
      </c>
      <c r="B11" s="24">
        <v>53</v>
      </c>
      <c r="C11" s="29" t="s">
        <v>111</v>
      </c>
      <c r="D11" s="131"/>
      <c r="E11" s="153"/>
      <c r="F11" s="132"/>
    </row>
    <row r="12" spans="1:6" s="3" customFormat="1" ht="15" customHeight="1" x14ac:dyDescent="0.25">
      <c r="A12" s="14" t="s">
        <v>302</v>
      </c>
      <c r="B12" s="24">
        <v>54</v>
      </c>
      <c r="C12" s="29" t="s">
        <v>112</v>
      </c>
      <c r="D12" s="131"/>
      <c r="E12" s="153"/>
      <c r="F12" s="132"/>
    </row>
    <row r="13" spans="1:6" s="3" customFormat="1" ht="15" customHeight="1" x14ac:dyDescent="0.25">
      <c r="A13" s="14" t="s">
        <v>303</v>
      </c>
      <c r="B13" s="24">
        <v>55</v>
      </c>
      <c r="C13" s="29" t="s">
        <v>113</v>
      </c>
      <c r="D13" s="131"/>
      <c r="E13" s="153"/>
      <c r="F13" s="132"/>
    </row>
    <row r="14" spans="1:6" s="3" customFormat="1" ht="15" customHeight="1" x14ac:dyDescent="0.25">
      <c r="A14" s="14" t="s">
        <v>304</v>
      </c>
      <c r="B14" s="24">
        <v>56</v>
      </c>
      <c r="C14" s="29" t="s">
        <v>130</v>
      </c>
      <c r="D14" s="131"/>
      <c r="E14" s="153"/>
      <c r="F14" s="132"/>
    </row>
    <row r="15" spans="1:6" s="3" customFormat="1" ht="15" customHeight="1" x14ac:dyDescent="0.25">
      <c r="A15" s="14" t="s">
        <v>305</v>
      </c>
      <c r="B15" s="24">
        <v>57</v>
      </c>
      <c r="C15" s="29" t="s">
        <v>145</v>
      </c>
      <c r="D15" s="131"/>
      <c r="E15" s="153"/>
      <c r="F15" s="132"/>
    </row>
    <row r="16" spans="1:6" s="3" customFormat="1" ht="15" customHeight="1" thickBot="1" x14ac:dyDescent="0.3">
      <c r="A16" s="148" t="s">
        <v>306</v>
      </c>
      <c r="B16" s="25">
        <v>59</v>
      </c>
      <c r="C16" s="20" t="s">
        <v>47</v>
      </c>
      <c r="D16" s="134"/>
      <c r="E16" s="154"/>
      <c r="F16" s="135"/>
    </row>
    <row r="17" spans="1:6" s="3" customFormat="1" ht="15" customHeight="1" thickBot="1" x14ac:dyDescent="0.3">
      <c r="A17" s="15" t="s">
        <v>307</v>
      </c>
      <c r="B17" s="146"/>
      <c r="C17" s="147" t="s">
        <v>135</v>
      </c>
      <c r="D17" s="42">
        <f>SUM(D18:D25)</f>
        <v>0</v>
      </c>
      <c r="E17" s="42">
        <f>SUM(E18:E25)</f>
        <v>0</v>
      </c>
      <c r="F17" s="50">
        <f>SUM(F18:F25)</f>
        <v>0</v>
      </c>
    </row>
    <row r="18" spans="1:6" s="3" customFormat="1" ht="15" customHeight="1" x14ac:dyDescent="0.25">
      <c r="A18" s="14" t="s">
        <v>308</v>
      </c>
      <c r="B18" s="144">
        <v>60</v>
      </c>
      <c r="C18" s="145" t="s">
        <v>114</v>
      </c>
      <c r="D18" s="150"/>
      <c r="E18" s="151"/>
      <c r="F18" s="152"/>
    </row>
    <row r="19" spans="1:6" s="3" customFormat="1" ht="15" customHeight="1" x14ac:dyDescent="0.25">
      <c r="A19" s="14" t="s">
        <v>309</v>
      </c>
      <c r="B19" s="24">
        <v>61</v>
      </c>
      <c r="C19" s="29" t="s">
        <v>115</v>
      </c>
      <c r="D19" s="131"/>
      <c r="E19" s="153"/>
      <c r="F19" s="132"/>
    </row>
    <row r="20" spans="1:6" s="3" customFormat="1" ht="15" customHeight="1" x14ac:dyDescent="0.25">
      <c r="A20" s="14" t="s">
        <v>310</v>
      </c>
      <c r="B20" s="24">
        <v>62</v>
      </c>
      <c r="C20" s="29" t="s">
        <v>116</v>
      </c>
      <c r="D20" s="131"/>
      <c r="E20" s="153"/>
      <c r="F20" s="132"/>
    </row>
    <row r="21" spans="1:6" s="3" customFormat="1" ht="15" customHeight="1" x14ac:dyDescent="0.25">
      <c r="A21" s="14" t="s">
        <v>311</v>
      </c>
      <c r="B21" s="24">
        <v>64</v>
      </c>
      <c r="C21" s="29" t="s">
        <v>77</v>
      </c>
      <c r="D21" s="131"/>
      <c r="E21" s="153"/>
      <c r="F21" s="132"/>
    </row>
    <row r="22" spans="1:6" s="3" customFormat="1" ht="15" customHeight="1" x14ac:dyDescent="0.25">
      <c r="A22" s="14" t="s">
        <v>312</v>
      </c>
      <c r="B22" s="24">
        <v>66</v>
      </c>
      <c r="C22" s="29" t="s">
        <v>117</v>
      </c>
      <c r="D22" s="131"/>
      <c r="E22" s="153"/>
      <c r="F22" s="132"/>
    </row>
    <row r="23" spans="1:6" s="3" customFormat="1" ht="15" customHeight="1" x14ac:dyDescent="0.25">
      <c r="A23" s="14" t="s">
        <v>313</v>
      </c>
      <c r="B23" s="24" t="s">
        <v>118</v>
      </c>
      <c r="C23" s="29" t="s">
        <v>75</v>
      </c>
      <c r="D23" s="131"/>
      <c r="E23" s="153"/>
      <c r="F23" s="132"/>
    </row>
    <row r="24" spans="1:6" s="3" customFormat="1" ht="15" customHeight="1" x14ac:dyDescent="0.25">
      <c r="A24" s="14" t="s">
        <v>314</v>
      </c>
      <c r="B24" s="24" t="s">
        <v>119</v>
      </c>
      <c r="C24" s="29" t="s">
        <v>146</v>
      </c>
      <c r="D24" s="131"/>
      <c r="E24" s="153"/>
      <c r="F24" s="132"/>
    </row>
    <row r="25" spans="1:6" s="3" customFormat="1" ht="15" customHeight="1" thickBot="1" x14ac:dyDescent="0.3">
      <c r="A25" s="148" t="s">
        <v>315</v>
      </c>
      <c r="B25" s="25" t="s">
        <v>120</v>
      </c>
      <c r="C25" s="20" t="s">
        <v>418</v>
      </c>
      <c r="D25" s="134"/>
      <c r="E25" s="154"/>
      <c r="F25" s="135"/>
    </row>
    <row r="26" spans="1:6" s="3" customFormat="1" ht="15" customHeight="1" thickBot="1" x14ac:dyDescent="0.3">
      <c r="A26" s="15" t="s">
        <v>316</v>
      </c>
      <c r="B26" s="146"/>
      <c r="C26" s="147" t="s">
        <v>136</v>
      </c>
      <c r="D26" s="42">
        <f>D17-D7</f>
        <v>0</v>
      </c>
      <c r="E26" s="42">
        <f>E17-E7</f>
        <v>0</v>
      </c>
      <c r="F26" s="50">
        <f>F17-F7</f>
        <v>0</v>
      </c>
    </row>
    <row r="27" spans="1:6" s="3" customFormat="1" ht="15" customHeight="1" thickBot="1" x14ac:dyDescent="0.25">
      <c r="A27" s="12"/>
      <c r="B27" s="54"/>
      <c r="C27" s="12"/>
      <c r="D27" s="55"/>
      <c r="E27" s="55"/>
      <c r="F27" s="55"/>
    </row>
    <row r="28" spans="1:6" s="3" customFormat="1" ht="15" customHeight="1" thickBot="1" x14ac:dyDescent="0.3">
      <c r="A28" s="475" t="s">
        <v>207</v>
      </c>
      <c r="B28" s="476"/>
      <c r="C28" s="476"/>
      <c r="D28" s="476"/>
      <c r="E28" s="476"/>
      <c r="F28" s="477"/>
    </row>
    <row r="29" spans="1:6" s="3" customFormat="1" ht="15" customHeight="1" thickBot="1" x14ac:dyDescent="0.25">
      <c r="A29" s="478"/>
      <c r="B29" s="479"/>
      <c r="C29" s="479"/>
      <c r="D29" s="479"/>
      <c r="E29" s="479"/>
      <c r="F29" s="479"/>
    </row>
    <row r="30" spans="1:6" s="3" customFormat="1" ht="15" customHeight="1" thickBot="1" x14ac:dyDescent="0.25">
      <c r="A30" s="127" t="s">
        <v>390</v>
      </c>
      <c r="B30" s="22" t="s">
        <v>391</v>
      </c>
      <c r="C30" s="22" t="s">
        <v>392</v>
      </c>
      <c r="D30" s="35" t="s">
        <v>294</v>
      </c>
      <c r="E30" s="35" t="s">
        <v>295</v>
      </c>
      <c r="F30" s="126" t="s">
        <v>296</v>
      </c>
    </row>
    <row r="31" spans="1:6" s="3" customFormat="1" ht="15" customHeight="1" thickBot="1" x14ac:dyDescent="0.3">
      <c r="A31" s="15" t="s">
        <v>297</v>
      </c>
      <c r="B31" s="146"/>
      <c r="C31" s="147" t="s">
        <v>134</v>
      </c>
      <c r="D31" s="42">
        <f>SUM(D32:D40)</f>
        <v>0</v>
      </c>
      <c r="E31" s="149"/>
      <c r="F31" s="50">
        <f>SUM(F32:F40)</f>
        <v>0</v>
      </c>
    </row>
    <row r="32" spans="1:6" s="3" customFormat="1" ht="15" customHeight="1" x14ac:dyDescent="0.25">
      <c r="A32" s="14" t="s">
        <v>298</v>
      </c>
      <c r="B32" s="144">
        <v>50</v>
      </c>
      <c r="C32" s="145" t="s">
        <v>108</v>
      </c>
      <c r="D32" s="150"/>
      <c r="E32" s="151"/>
      <c r="F32" s="152"/>
    </row>
    <row r="33" spans="1:6" s="3" customFormat="1" ht="15" customHeight="1" x14ac:dyDescent="0.25">
      <c r="A33" s="14" t="s">
        <v>299</v>
      </c>
      <c r="B33" s="24">
        <v>51</v>
      </c>
      <c r="C33" s="29" t="s">
        <v>109</v>
      </c>
      <c r="D33" s="131"/>
      <c r="E33" s="153"/>
      <c r="F33" s="132"/>
    </row>
    <row r="34" spans="1:6" s="3" customFormat="1" ht="15" customHeight="1" x14ac:dyDescent="0.25">
      <c r="A34" s="14" t="s">
        <v>300</v>
      </c>
      <c r="B34" s="24">
        <v>52</v>
      </c>
      <c r="C34" s="29" t="s">
        <v>110</v>
      </c>
      <c r="D34" s="131"/>
      <c r="E34" s="153"/>
      <c r="F34" s="132"/>
    </row>
    <row r="35" spans="1:6" s="3" customFormat="1" ht="15" customHeight="1" x14ac:dyDescent="0.25">
      <c r="A35" s="14" t="s">
        <v>301</v>
      </c>
      <c r="B35" s="24">
        <v>53</v>
      </c>
      <c r="C35" s="29" t="s">
        <v>111</v>
      </c>
      <c r="D35" s="131"/>
      <c r="E35" s="153"/>
      <c r="F35" s="132"/>
    </row>
    <row r="36" spans="1:6" s="3" customFormat="1" ht="15" customHeight="1" x14ac:dyDescent="0.25">
      <c r="A36" s="14" t="s">
        <v>302</v>
      </c>
      <c r="B36" s="24">
        <v>54</v>
      </c>
      <c r="C36" s="29" t="s">
        <v>112</v>
      </c>
      <c r="D36" s="131"/>
      <c r="E36" s="153"/>
      <c r="F36" s="132"/>
    </row>
    <row r="37" spans="1:6" s="3" customFormat="1" ht="15" customHeight="1" x14ac:dyDescent="0.25">
      <c r="A37" s="14" t="s">
        <v>303</v>
      </c>
      <c r="B37" s="24">
        <v>55</v>
      </c>
      <c r="C37" s="29" t="s">
        <v>113</v>
      </c>
      <c r="D37" s="131"/>
      <c r="E37" s="153"/>
      <c r="F37" s="132"/>
    </row>
    <row r="38" spans="1:6" s="3" customFormat="1" ht="15" customHeight="1" x14ac:dyDescent="0.25">
      <c r="A38" s="14" t="s">
        <v>304</v>
      </c>
      <c r="B38" s="24">
        <v>56</v>
      </c>
      <c r="C38" s="29" t="s">
        <v>130</v>
      </c>
      <c r="D38" s="131"/>
      <c r="E38" s="153"/>
      <c r="F38" s="132"/>
    </row>
    <row r="39" spans="1:6" s="3" customFormat="1" ht="15" customHeight="1" x14ac:dyDescent="0.25">
      <c r="A39" s="14" t="s">
        <v>305</v>
      </c>
      <c r="B39" s="24">
        <v>57</v>
      </c>
      <c r="C39" s="29" t="s">
        <v>145</v>
      </c>
      <c r="D39" s="131"/>
      <c r="E39" s="153"/>
      <c r="F39" s="132"/>
    </row>
    <row r="40" spans="1:6" s="3" customFormat="1" ht="15" customHeight="1" thickBot="1" x14ac:dyDescent="0.3">
      <c r="A40" s="148" t="s">
        <v>306</v>
      </c>
      <c r="B40" s="25">
        <v>59</v>
      </c>
      <c r="C40" s="20" t="s">
        <v>47</v>
      </c>
      <c r="D40" s="134"/>
      <c r="E40" s="154"/>
      <c r="F40" s="135"/>
    </row>
    <row r="41" spans="1:6" s="3" customFormat="1" ht="15" customHeight="1" thickBot="1" x14ac:dyDescent="0.3">
      <c r="A41" s="15" t="s">
        <v>307</v>
      </c>
      <c r="B41" s="146"/>
      <c r="C41" s="147" t="s">
        <v>135</v>
      </c>
      <c r="D41" s="42">
        <f>SUM(D42:D49)</f>
        <v>0</v>
      </c>
      <c r="E41" s="149"/>
      <c r="F41" s="50">
        <f>SUM(F42:F49)</f>
        <v>0</v>
      </c>
    </row>
    <row r="42" spans="1:6" s="3" customFormat="1" ht="15" customHeight="1" x14ac:dyDescent="0.25">
      <c r="A42" s="14" t="s">
        <v>308</v>
      </c>
      <c r="B42" s="144">
        <v>60</v>
      </c>
      <c r="C42" s="145" t="s">
        <v>114</v>
      </c>
      <c r="D42" s="150"/>
      <c r="E42" s="151"/>
      <c r="F42" s="152"/>
    </row>
    <row r="43" spans="1:6" s="3" customFormat="1" ht="15" customHeight="1" x14ac:dyDescent="0.25">
      <c r="A43" s="14" t="s">
        <v>309</v>
      </c>
      <c r="B43" s="24">
        <v>61</v>
      </c>
      <c r="C43" s="29" t="s">
        <v>115</v>
      </c>
      <c r="D43" s="131"/>
      <c r="E43" s="153"/>
      <c r="F43" s="132"/>
    </row>
    <row r="44" spans="1:6" s="3" customFormat="1" ht="15" customHeight="1" x14ac:dyDescent="0.25">
      <c r="A44" s="14" t="s">
        <v>310</v>
      </c>
      <c r="B44" s="24">
        <v>62</v>
      </c>
      <c r="C44" s="29" t="s">
        <v>116</v>
      </c>
      <c r="D44" s="131"/>
      <c r="E44" s="153"/>
      <c r="F44" s="132"/>
    </row>
    <row r="45" spans="1:6" s="3" customFormat="1" ht="15" customHeight="1" x14ac:dyDescent="0.25">
      <c r="A45" s="14" t="s">
        <v>311</v>
      </c>
      <c r="B45" s="24">
        <v>64</v>
      </c>
      <c r="C45" s="29" t="s">
        <v>77</v>
      </c>
      <c r="D45" s="131"/>
      <c r="E45" s="153"/>
      <c r="F45" s="132"/>
    </row>
    <row r="46" spans="1:6" s="3" customFormat="1" ht="15" customHeight="1" x14ac:dyDescent="0.25">
      <c r="A46" s="14" t="s">
        <v>312</v>
      </c>
      <c r="B46" s="24">
        <v>66</v>
      </c>
      <c r="C46" s="29" t="s">
        <v>117</v>
      </c>
      <c r="D46" s="131"/>
      <c r="E46" s="153"/>
      <c r="F46" s="132"/>
    </row>
    <row r="47" spans="1:6" s="3" customFormat="1" ht="15" customHeight="1" x14ac:dyDescent="0.25">
      <c r="A47" s="14" t="s">
        <v>313</v>
      </c>
      <c r="B47" s="24" t="s">
        <v>118</v>
      </c>
      <c r="C47" s="29" t="s">
        <v>75</v>
      </c>
      <c r="D47" s="131"/>
      <c r="E47" s="153"/>
      <c r="F47" s="132"/>
    </row>
    <row r="48" spans="1:6" s="3" customFormat="1" ht="15" customHeight="1" x14ac:dyDescent="0.25">
      <c r="A48" s="14" t="s">
        <v>314</v>
      </c>
      <c r="B48" s="24" t="s">
        <v>119</v>
      </c>
      <c r="C48" s="29" t="s">
        <v>146</v>
      </c>
      <c r="D48" s="131"/>
      <c r="E48" s="153"/>
      <c r="F48" s="132"/>
    </row>
    <row r="49" spans="1:6" s="3" customFormat="1" ht="15" customHeight="1" thickBot="1" x14ac:dyDescent="0.3">
      <c r="A49" s="148" t="s">
        <v>315</v>
      </c>
      <c r="B49" s="25" t="s">
        <v>120</v>
      </c>
      <c r="C49" s="20" t="s">
        <v>418</v>
      </c>
      <c r="D49" s="134"/>
      <c r="E49" s="154"/>
      <c r="F49" s="135"/>
    </row>
    <row r="50" spans="1:6" s="3" customFormat="1" ht="15" customHeight="1" thickBot="1" x14ac:dyDescent="0.3">
      <c r="A50" s="15" t="s">
        <v>316</v>
      </c>
      <c r="B50" s="146"/>
      <c r="C50" s="147" t="s">
        <v>136</v>
      </c>
      <c r="D50" s="42">
        <f>D41-D31</f>
        <v>0</v>
      </c>
      <c r="E50" s="149"/>
      <c r="F50" s="50">
        <f>F41-F31</f>
        <v>0</v>
      </c>
    </row>
    <row r="51" spans="1:6" s="3" customFormat="1" ht="9.75" customHeight="1" x14ac:dyDescent="0.2"/>
    <row r="52" spans="1:6" s="3" customFormat="1" ht="9.75" customHeight="1" x14ac:dyDescent="0.2"/>
    <row r="53" spans="1:6" s="3" customFormat="1" ht="9.75" customHeight="1" x14ac:dyDescent="0.2"/>
    <row r="54" spans="1:6" s="3" customFormat="1" x14ac:dyDescent="0.2"/>
    <row r="55" spans="1:6" s="3" customFormat="1" x14ac:dyDescent="0.2"/>
    <row r="56" spans="1:6" s="3" customFormat="1" x14ac:dyDescent="0.2"/>
    <row r="57" spans="1:6" s="3" customFormat="1" x14ac:dyDescent="0.2"/>
    <row r="58" spans="1:6" s="3" customFormat="1" x14ac:dyDescent="0.2"/>
    <row r="59" spans="1:6" s="3" customFormat="1" x14ac:dyDescent="0.2"/>
    <row r="60" spans="1:6" s="3" customFormat="1" x14ac:dyDescent="0.2"/>
    <row r="61" spans="1:6" s="3" customFormat="1" x14ac:dyDescent="0.2"/>
    <row r="62" spans="1:6" s="3" customFormat="1" x14ac:dyDescent="0.2"/>
    <row r="63" spans="1:6" s="3" customFormat="1" x14ac:dyDescent="0.2"/>
    <row r="64" spans="1:6" s="3" customFormat="1" x14ac:dyDescent="0.2"/>
    <row r="65" spans="6:8" s="3" customFormat="1" x14ac:dyDescent="0.2"/>
    <row r="66" spans="6:8" s="3" customFormat="1" x14ac:dyDescent="0.2">
      <c r="F66" s="11"/>
      <c r="G66" s="11"/>
      <c r="H66" s="11"/>
    </row>
    <row r="67" spans="6:8" s="3" customFormat="1" x14ac:dyDescent="0.2">
      <c r="F67" s="11"/>
      <c r="G67" s="11"/>
      <c r="H67" s="11"/>
    </row>
    <row r="68" spans="6:8" s="3" customFormat="1" x14ac:dyDescent="0.2">
      <c r="F68" s="11"/>
      <c r="G68" s="11"/>
      <c r="H68" s="11"/>
    </row>
    <row r="69" spans="6:8" s="3" customFormat="1" x14ac:dyDescent="0.2">
      <c r="F69" s="11"/>
      <c r="G69" s="11"/>
      <c r="H69" s="11"/>
    </row>
    <row r="70" spans="6:8" s="3" customFormat="1" x14ac:dyDescent="0.2">
      <c r="F70" s="11"/>
      <c r="G70" s="11"/>
      <c r="H70" s="11"/>
    </row>
    <row r="71" spans="6:8" s="3" customFormat="1" x14ac:dyDescent="0.2">
      <c r="F71" s="11"/>
      <c r="G71" s="11"/>
      <c r="H71" s="11"/>
    </row>
    <row r="72" spans="6:8" s="3" customFormat="1" x14ac:dyDescent="0.2">
      <c r="F72" s="11"/>
      <c r="G72" s="11"/>
      <c r="H72" s="11"/>
    </row>
    <row r="73" spans="6:8" s="3" customFormat="1" x14ac:dyDescent="0.2">
      <c r="F73" s="11"/>
      <c r="G73" s="11"/>
      <c r="H73" s="11"/>
    </row>
    <row r="74" spans="6:8" s="3" customFormat="1" x14ac:dyDescent="0.2">
      <c r="F74" s="11"/>
      <c r="G74" s="11"/>
      <c r="H74" s="11"/>
    </row>
    <row r="75" spans="6:8" s="3" customFormat="1" x14ac:dyDescent="0.2">
      <c r="F75" s="11"/>
      <c r="G75" s="11"/>
      <c r="H75" s="11"/>
    </row>
    <row r="76" spans="6:8" s="3" customFormat="1" x14ac:dyDescent="0.2">
      <c r="F76" s="11"/>
      <c r="G76" s="11"/>
      <c r="H76" s="11"/>
    </row>
    <row r="77" spans="6:8" s="3" customFormat="1" x14ac:dyDescent="0.2">
      <c r="F77" s="11"/>
      <c r="G77" s="11"/>
      <c r="H77" s="11"/>
    </row>
    <row r="78" spans="6:8" s="3" customFormat="1" x14ac:dyDescent="0.2">
      <c r="F78" s="11"/>
      <c r="G78" s="11"/>
      <c r="H78" s="11"/>
    </row>
    <row r="79" spans="6:8" s="3" customFormat="1" x14ac:dyDescent="0.2">
      <c r="F79" s="11"/>
      <c r="G79" s="11"/>
      <c r="H79" s="11"/>
    </row>
    <row r="80" spans="6:8" s="3" customFormat="1" x14ac:dyDescent="0.2">
      <c r="F80" s="11"/>
      <c r="G80" s="11"/>
      <c r="H80" s="11"/>
    </row>
    <row r="81" spans="6:8" s="3" customFormat="1" x14ac:dyDescent="0.2">
      <c r="F81" s="11"/>
      <c r="G81" s="11"/>
      <c r="H81" s="11"/>
    </row>
    <row r="82" spans="6:8" s="3" customFormat="1" x14ac:dyDescent="0.2">
      <c r="F82" s="11"/>
      <c r="G82" s="11"/>
      <c r="H82" s="11"/>
    </row>
    <row r="83" spans="6:8" s="3" customFormat="1" x14ac:dyDescent="0.2">
      <c r="F83" s="11"/>
      <c r="G83" s="11"/>
      <c r="H83" s="11"/>
    </row>
    <row r="84" spans="6:8" s="3" customFormat="1" x14ac:dyDescent="0.2">
      <c r="F84" s="11"/>
      <c r="G84" s="11"/>
      <c r="H84" s="11"/>
    </row>
    <row r="85" spans="6:8" s="3" customFormat="1" x14ac:dyDescent="0.2">
      <c r="F85" s="11"/>
      <c r="G85" s="11"/>
      <c r="H85" s="11"/>
    </row>
    <row r="86" spans="6:8" s="3" customFormat="1" x14ac:dyDescent="0.2">
      <c r="F86" s="11"/>
      <c r="G86" s="11"/>
      <c r="H86" s="11"/>
    </row>
    <row r="87" spans="6:8" s="3" customFormat="1" x14ac:dyDescent="0.2">
      <c r="F87" s="11"/>
      <c r="G87" s="11"/>
      <c r="H87" s="11"/>
    </row>
    <row r="88" spans="6:8" s="3" customFormat="1" x14ac:dyDescent="0.2">
      <c r="F88" s="11"/>
      <c r="G88" s="11"/>
      <c r="H88" s="11"/>
    </row>
    <row r="89" spans="6:8" s="3" customFormat="1" x14ac:dyDescent="0.2">
      <c r="F89" s="11"/>
      <c r="G89" s="11"/>
      <c r="H89" s="11"/>
    </row>
    <row r="90" spans="6:8" s="3" customFormat="1" x14ac:dyDescent="0.2">
      <c r="F90" s="11"/>
      <c r="G90" s="11"/>
      <c r="H90" s="11"/>
    </row>
    <row r="91" spans="6:8" s="3" customFormat="1" x14ac:dyDescent="0.2">
      <c r="F91" s="11"/>
      <c r="G91" s="11"/>
      <c r="H91" s="11"/>
    </row>
    <row r="92" spans="6:8" s="3" customFormat="1" x14ac:dyDescent="0.2">
      <c r="F92" s="11"/>
      <c r="G92" s="11"/>
      <c r="H92" s="11"/>
    </row>
    <row r="93" spans="6:8" s="3" customFormat="1" x14ac:dyDescent="0.2">
      <c r="F93" s="11"/>
      <c r="G93" s="11"/>
      <c r="H93" s="11"/>
    </row>
    <row r="94" spans="6:8" s="3" customFormat="1" x14ac:dyDescent="0.2">
      <c r="F94" s="11"/>
      <c r="G94" s="11"/>
      <c r="H94" s="11"/>
    </row>
    <row r="95" spans="6:8" s="3" customFormat="1" x14ac:dyDescent="0.2">
      <c r="F95" s="11"/>
      <c r="G95" s="11"/>
      <c r="H95" s="11"/>
    </row>
    <row r="96" spans="6:8" s="3" customFormat="1" x14ac:dyDescent="0.2">
      <c r="F96" s="11"/>
      <c r="G96" s="11"/>
      <c r="H96" s="11"/>
    </row>
    <row r="97" spans="6:8" s="3" customFormat="1" x14ac:dyDescent="0.2">
      <c r="F97" s="11"/>
      <c r="G97" s="11"/>
      <c r="H97" s="11"/>
    </row>
    <row r="98" spans="6:8" s="3" customFormat="1" x14ac:dyDescent="0.2">
      <c r="F98" s="11"/>
      <c r="G98" s="11"/>
      <c r="H98" s="11"/>
    </row>
    <row r="99" spans="6:8" s="3" customFormat="1" x14ac:dyDescent="0.2">
      <c r="F99" s="11"/>
      <c r="G99" s="11"/>
      <c r="H99" s="11"/>
    </row>
    <row r="100" spans="6:8" s="3" customFormat="1" x14ac:dyDescent="0.2">
      <c r="F100" s="11"/>
      <c r="G100" s="11"/>
      <c r="H100" s="11"/>
    </row>
    <row r="101" spans="6:8" s="3" customFormat="1" x14ac:dyDescent="0.2">
      <c r="F101" s="11"/>
      <c r="G101" s="11"/>
      <c r="H101" s="11"/>
    </row>
    <row r="102" spans="6:8" s="3" customFormat="1" x14ac:dyDescent="0.2">
      <c r="F102" s="11"/>
      <c r="G102" s="11"/>
      <c r="H102" s="11"/>
    </row>
    <row r="103" spans="6:8" s="3" customFormat="1" x14ac:dyDescent="0.2">
      <c r="F103" s="11"/>
      <c r="G103" s="11"/>
      <c r="H103" s="11"/>
    </row>
    <row r="104" spans="6:8" s="3" customFormat="1" x14ac:dyDescent="0.2">
      <c r="F104" s="11"/>
      <c r="G104" s="11"/>
      <c r="H104" s="11"/>
    </row>
    <row r="105" spans="6:8" s="3" customFormat="1" x14ac:dyDescent="0.2">
      <c r="F105" s="11"/>
      <c r="G105" s="11"/>
      <c r="H105" s="11"/>
    </row>
    <row r="106" spans="6:8" s="3" customFormat="1" x14ac:dyDescent="0.2">
      <c r="F106" s="11"/>
      <c r="G106" s="11"/>
      <c r="H106" s="11"/>
    </row>
    <row r="107" spans="6:8" s="3" customFormat="1" x14ac:dyDescent="0.2">
      <c r="F107" s="11"/>
      <c r="G107" s="11"/>
      <c r="H107" s="11"/>
    </row>
    <row r="108" spans="6:8" s="3" customFormat="1" x14ac:dyDescent="0.2">
      <c r="F108" s="11"/>
      <c r="G108" s="11"/>
      <c r="H108" s="11"/>
    </row>
    <row r="109" spans="6:8" s="3" customFormat="1" x14ac:dyDescent="0.2">
      <c r="F109" s="11"/>
      <c r="G109" s="11"/>
      <c r="H109" s="11"/>
    </row>
    <row r="110" spans="6:8" s="3" customFormat="1" x14ac:dyDescent="0.2">
      <c r="F110" s="11"/>
      <c r="G110" s="11"/>
      <c r="H110" s="11"/>
    </row>
    <row r="111" spans="6:8" s="3" customFormat="1" x14ac:dyDescent="0.2">
      <c r="F111" s="11"/>
      <c r="G111" s="11"/>
      <c r="H111" s="11"/>
    </row>
    <row r="112" spans="6:8" s="3" customFormat="1" x14ac:dyDescent="0.2">
      <c r="F112" s="11"/>
      <c r="G112" s="11"/>
      <c r="H112" s="11"/>
    </row>
    <row r="113" spans="6:8" s="3" customFormat="1" x14ac:dyDescent="0.2">
      <c r="F113" s="11"/>
      <c r="G113" s="11"/>
      <c r="H113" s="11"/>
    </row>
    <row r="114" spans="6:8" s="3" customFormat="1" x14ac:dyDescent="0.2">
      <c r="F114" s="11"/>
      <c r="G114" s="11"/>
      <c r="H114" s="11"/>
    </row>
    <row r="115" spans="6:8" s="3" customFormat="1" x14ac:dyDescent="0.2">
      <c r="F115" s="11"/>
      <c r="G115" s="11"/>
      <c r="H115" s="11"/>
    </row>
    <row r="116" spans="6:8" s="3" customFormat="1" x14ac:dyDescent="0.2">
      <c r="F116" s="11"/>
      <c r="G116" s="11"/>
      <c r="H116" s="11"/>
    </row>
    <row r="117" spans="6:8" s="3" customFormat="1" x14ac:dyDescent="0.2">
      <c r="F117" s="11"/>
      <c r="G117" s="11"/>
      <c r="H117" s="11"/>
    </row>
    <row r="118" spans="6:8" s="3" customFormat="1" x14ac:dyDescent="0.2">
      <c r="F118" s="11"/>
      <c r="G118" s="11"/>
      <c r="H118" s="11"/>
    </row>
    <row r="119" spans="6:8" s="3" customFormat="1" x14ac:dyDescent="0.2">
      <c r="F119" s="11"/>
      <c r="G119" s="11"/>
      <c r="H119" s="11"/>
    </row>
    <row r="120" spans="6:8" s="3" customFormat="1" x14ac:dyDescent="0.2">
      <c r="F120" s="11"/>
      <c r="G120" s="11"/>
      <c r="H120" s="11"/>
    </row>
    <row r="121" spans="6:8" s="3" customFormat="1" x14ac:dyDescent="0.2">
      <c r="F121" s="11"/>
      <c r="G121" s="11"/>
      <c r="H121" s="11"/>
    </row>
    <row r="122" spans="6:8" s="3" customFormat="1" x14ac:dyDescent="0.2">
      <c r="F122" s="11"/>
      <c r="G122" s="11"/>
      <c r="H122" s="11"/>
    </row>
    <row r="123" spans="6:8" s="3" customFormat="1" x14ac:dyDescent="0.2">
      <c r="F123" s="11"/>
      <c r="G123" s="11"/>
      <c r="H123" s="11"/>
    </row>
    <row r="124" spans="6:8" s="3" customFormat="1" x14ac:dyDescent="0.2">
      <c r="F124" s="11"/>
      <c r="G124" s="11"/>
      <c r="H124" s="11"/>
    </row>
    <row r="125" spans="6:8" s="3" customFormat="1" x14ac:dyDescent="0.2">
      <c r="F125" s="11"/>
      <c r="G125" s="11"/>
      <c r="H125" s="11"/>
    </row>
    <row r="126" spans="6:8" s="3" customFormat="1" x14ac:dyDescent="0.2">
      <c r="F126" s="11"/>
      <c r="G126" s="11"/>
      <c r="H126" s="11"/>
    </row>
    <row r="127" spans="6:8" s="3" customFormat="1" x14ac:dyDescent="0.2">
      <c r="F127" s="11"/>
      <c r="G127" s="11"/>
      <c r="H127" s="11"/>
    </row>
    <row r="128" spans="6:8" s="3" customFormat="1" x14ac:dyDescent="0.2">
      <c r="F128" s="11"/>
      <c r="G128" s="11"/>
      <c r="H128" s="11"/>
    </row>
    <row r="129" spans="6:8" s="3" customFormat="1" x14ac:dyDescent="0.2">
      <c r="F129" s="11"/>
      <c r="G129" s="11"/>
      <c r="H129" s="11"/>
    </row>
    <row r="130" spans="6:8" s="3" customFormat="1" x14ac:dyDescent="0.2">
      <c r="F130" s="11"/>
      <c r="G130" s="11"/>
      <c r="H130" s="11"/>
    </row>
    <row r="131" spans="6:8" s="3" customFormat="1" x14ac:dyDescent="0.2">
      <c r="F131" s="11"/>
      <c r="G131" s="11"/>
      <c r="H131" s="11"/>
    </row>
    <row r="132" spans="6:8" s="3" customFormat="1" x14ac:dyDescent="0.2">
      <c r="F132" s="11"/>
      <c r="G132" s="11"/>
      <c r="H132" s="11"/>
    </row>
    <row r="133" spans="6:8" s="3" customFormat="1" x14ac:dyDescent="0.2">
      <c r="F133" s="11"/>
      <c r="G133" s="11"/>
      <c r="H133" s="11"/>
    </row>
    <row r="134" spans="6:8" s="3" customFormat="1" x14ac:dyDescent="0.2">
      <c r="F134" s="11"/>
      <c r="G134" s="11"/>
      <c r="H134" s="11"/>
    </row>
    <row r="135" spans="6:8" s="3" customFormat="1" x14ac:dyDescent="0.2">
      <c r="F135" s="11"/>
      <c r="G135" s="11"/>
      <c r="H135" s="11"/>
    </row>
    <row r="136" spans="6:8" s="3" customFormat="1" x14ac:dyDescent="0.2">
      <c r="F136" s="11"/>
      <c r="G136" s="11"/>
      <c r="H136" s="11"/>
    </row>
    <row r="137" spans="6:8" s="3" customFormat="1" x14ac:dyDescent="0.2">
      <c r="F137" s="11"/>
      <c r="G137" s="11"/>
      <c r="H137" s="11"/>
    </row>
    <row r="138" spans="6:8" s="3" customFormat="1" x14ac:dyDescent="0.2">
      <c r="F138" s="11"/>
      <c r="G138" s="11"/>
      <c r="H138" s="11"/>
    </row>
    <row r="139" spans="6:8" s="3" customFormat="1" x14ac:dyDescent="0.2">
      <c r="F139" s="11"/>
      <c r="G139" s="11"/>
      <c r="H139" s="11"/>
    </row>
    <row r="140" spans="6:8" s="3" customFormat="1" x14ac:dyDescent="0.2">
      <c r="F140" s="11"/>
      <c r="G140" s="11"/>
      <c r="H140" s="11"/>
    </row>
    <row r="141" spans="6:8" s="3" customFormat="1" x14ac:dyDescent="0.2">
      <c r="F141" s="11"/>
      <c r="G141" s="11"/>
      <c r="H141" s="11"/>
    </row>
    <row r="142" spans="6:8" s="3" customFormat="1" x14ac:dyDescent="0.2">
      <c r="F142" s="11"/>
      <c r="G142" s="11"/>
      <c r="H142" s="11"/>
    </row>
    <row r="143" spans="6:8" s="3" customFormat="1" x14ac:dyDescent="0.2">
      <c r="F143" s="11"/>
      <c r="G143" s="11"/>
      <c r="H143" s="11"/>
    </row>
    <row r="144" spans="6:8" s="3" customFormat="1" x14ac:dyDescent="0.2">
      <c r="F144" s="11"/>
      <c r="G144" s="11"/>
      <c r="H144" s="11"/>
    </row>
    <row r="145" spans="6:8" s="3" customFormat="1" x14ac:dyDescent="0.2">
      <c r="F145" s="11"/>
      <c r="G145" s="11"/>
      <c r="H145" s="11"/>
    </row>
    <row r="146" spans="6:8" s="3" customFormat="1" x14ac:dyDescent="0.2">
      <c r="F146" s="11"/>
      <c r="G146" s="11"/>
      <c r="H146" s="11"/>
    </row>
    <row r="147" spans="6:8" s="3" customFormat="1" x14ac:dyDescent="0.2">
      <c r="F147" s="11"/>
      <c r="G147" s="11"/>
      <c r="H147" s="11"/>
    </row>
    <row r="148" spans="6:8" s="3" customFormat="1" x14ac:dyDescent="0.2">
      <c r="F148" s="11"/>
      <c r="G148" s="11"/>
      <c r="H148" s="11"/>
    </row>
    <row r="149" spans="6:8" s="3" customFormat="1" x14ac:dyDescent="0.2">
      <c r="F149" s="11"/>
      <c r="G149" s="11"/>
      <c r="H149" s="11"/>
    </row>
    <row r="150" spans="6:8" s="3" customFormat="1" x14ac:dyDescent="0.2">
      <c r="F150" s="11"/>
      <c r="G150" s="11"/>
      <c r="H150" s="11"/>
    </row>
    <row r="151" spans="6:8" s="3" customFormat="1" x14ac:dyDescent="0.2">
      <c r="F151" s="11"/>
      <c r="G151" s="11"/>
      <c r="H151" s="11"/>
    </row>
    <row r="152" spans="6:8" s="3" customFormat="1" x14ac:dyDescent="0.2">
      <c r="F152" s="11"/>
      <c r="G152" s="11"/>
      <c r="H152" s="11"/>
    </row>
    <row r="153" spans="6:8" s="3" customFormat="1" x14ac:dyDescent="0.2">
      <c r="F153" s="11"/>
      <c r="G153" s="11"/>
      <c r="H153" s="11"/>
    </row>
    <row r="154" spans="6:8" s="3" customFormat="1" x14ac:dyDescent="0.2">
      <c r="F154" s="11"/>
      <c r="G154" s="11"/>
      <c r="H154" s="11"/>
    </row>
    <row r="155" spans="6:8" s="3" customFormat="1" x14ac:dyDescent="0.2">
      <c r="F155" s="11"/>
      <c r="G155" s="11"/>
      <c r="H155" s="11"/>
    </row>
    <row r="156" spans="6:8" s="3" customFormat="1" x14ac:dyDescent="0.2">
      <c r="F156" s="11"/>
      <c r="G156" s="11"/>
      <c r="H156" s="11"/>
    </row>
    <row r="157" spans="6:8" s="3" customFormat="1" x14ac:dyDescent="0.2">
      <c r="F157" s="11"/>
      <c r="G157" s="11"/>
      <c r="H157" s="11"/>
    </row>
    <row r="158" spans="6:8" s="3" customFormat="1" x14ac:dyDescent="0.2">
      <c r="F158" s="11"/>
      <c r="G158" s="11"/>
      <c r="H158" s="11"/>
    </row>
    <row r="159" spans="6:8" s="3" customFormat="1" x14ac:dyDescent="0.2">
      <c r="F159" s="11"/>
      <c r="G159" s="11"/>
      <c r="H159" s="11"/>
    </row>
    <row r="160" spans="6:8" s="3" customFormat="1" x14ac:dyDescent="0.2">
      <c r="F160" s="11"/>
      <c r="G160" s="11"/>
      <c r="H160" s="11"/>
    </row>
    <row r="161" spans="6:8" s="3" customFormat="1" x14ac:dyDescent="0.2">
      <c r="F161" s="11"/>
      <c r="G161" s="11"/>
      <c r="H161" s="11"/>
    </row>
    <row r="162" spans="6:8" s="3" customFormat="1" x14ac:dyDescent="0.2">
      <c r="F162" s="11"/>
      <c r="G162" s="11"/>
      <c r="H162" s="11"/>
    </row>
    <row r="163" spans="6:8" s="3" customFormat="1" x14ac:dyDescent="0.2">
      <c r="F163" s="11"/>
      <c r="G163" s="11"/>
      <c r="H163" s="11"/>
    </row>
    <row r="164" spans="6:8" s="3" customFormat="1" x14ac:dyDescent="0.2">
      <c r="F164" s="11"/>
      <c r="G164" s="11"/>
      <c r="H164" s="11"/>
    </row>
    <row r="165" spans="6:8" s="3" customFormat="1" x14ac:dyDescent="0.2">
      <c r="F165" s="11"/>
      <c r="G165" s="11"/>
      <c r="H165" s="11"/>
    </row>
    <row r="166" spans="6:8" s="3" customFormat="1" x14ac:dyDescent="0.2">
      <c r="F166" s="11"/>
      <c r="G166" s="11"/>
      <c r="H166" s="11"/>
    </row>
    <row r="167" spans="6:8" s="3" customFormat="1" x14ac:dyDescent="0.2">
      <c r="F167" s="11"/>
      <c r="G167" s="11"/>
      <c r="H167" s="11"/>
    </row>
    <row r="168" spans="6:8" s="3" customFormat="1" x14ac:dyDescent="0.2">
      <c r="F168" s="11"/>
      <c r="G168" s="11"/>
      <c r="H168" s="11"/>
    </row>
    <row r="169" spans="6:8" s="3" customFormat="1" x14ac:dyDescent="0.2">
      <c r="F169" s="11"/>
      <c r="G169" s="11"/>
      <c r="H169" s="11"/>
    </row>
    <row r="170" spans="6:8" s="3" customFormat="1" x14ac:dyDescent="0.2">
      <c r="F170" s="11"/>
      <c r="G170" s="11"/>
      <c r="H170" s="11"/>
    </row>
    <row r="171" spans="6:8" s="3" customFormat="1" x14ac:dyDescent="0.2">
      <c r="F171" s="11"/>
      <c r="G171" s="11"/>
      <c r="H171" s="11"/>
    </row>
    <row r="172" spans="6:8" s="3" customFormat="1" x14ac:dyDescent="0.2">
      <c r="F172" s="11"/>
      <c r="G172" s="11"/>
      <c r="H172" s="11"/>
    </row>
    <row r="173" spans="6:8" s="3" customFormat="1" x14ac:dyDescent="0.2">
      <c r="F173" s="11"/>
      <c r="G173" s="11"/>
      <c r="H173" s="11"/>
    </row>
    <row r="174" spans="6:8" s="3" customFormat="1" x14ac:dyDescent="0.2">
      <c r="F174" s="11"/>
      <c r="G174" s="11"/>
      <c r="H174" s="11"/>
    </row>
    <row r="175" spans="6:8" s="3" customFormat="1" x14ac:dyDescent="0.2">
      <c r="F175" s="11"/>
      <c r="G175" s="11"/>
      <c r="H175" s="11"/>
    </row>
    <row r="176" spans="6:8" s="3" customFormat="1" x14ac:dyDescent="0.2">
      <c r="F176" s="11"/>
      <c r="G176" s="11"/>
      <c r="H176" s="11"/>
    </row>
    <row r="177" spans="6:8" s="3" customFormat="1" x14ac:dyDescent="0.2">
      <c r="F177" s="11"/>
      <c r="G177" s="11"/>
      <c r="H177" s="11"/>
    </row>
    <row r="178" spans="6:8" s="3" customFormat="1" x14ac:dyDescent="0.2">
      <c r="F178" s="11"/>
      <c r="G178" s="11"/>
      <c r="H178" s="11"/>
    </row>
    <row r="179" spans="6:8" s="3" customFormat="1" x14ac:dyDescent="0.2">
      <c r="F179" s="11"/>
      <c r="G179" s="11"/>
      <c r="H179" s="11"/>
    </row>
    <row r="180" spans="6:8" s="3" customFormat="1" x14ac:dyDescent="0.2">
      <c r="F180" s="11"/>
      <c r="G180" s="11"/>
      <c r="H180" s="11"/>
    </row>
    <row r="181" spans="6:8" s="3" customFormat="1" x14ac:dyDescent="0.2">
      <c r="F181" s="11"/>
      <c r="G181" s="11"/>
      <c r="H181" s="11"/>
    </row>
    <row r="182" spans="6:8" s="3" customFormat="1" x14ac:dyDescent="0.2">
      <c r="F182" s="11"/>
      <c r="G182" s="11"/>
      <c r="H182" s="11"/>
    </row>
    <row r="183" spans="6:8" s="3" customFormat="1" x14ac:dyDescent="0.2">
      <c r="F183" s="11"/>
      <c r="G183" s="11"/>
      <c r="H183" s="11"/>
    </row>
    <row r="184" spans="6:8" s="3" customFormat="1" x14ac:dyDescent="0.2">
      <c r="F184" s="11"/>
      <c r="G184" s="11"/>
      <c r="H184" s="11"/>
    </row>
    <row r="185" spans="6:8" s="3" customFormat="1" x14ac:dyDescent="0.2">
      <c r="F185" s="11"/>
      <c r="G185" s="11"/>
      <c r="H185" s="11"/>
    </row>
    <row r="186" spans="6:8" s="3" customFormat="1" x14ac:dyDescent="0.2">
      <c r="F186" s="11"/>
      <c r="G186" s="11"/>
      <c r="H186" s="11"/>
    </row>
    <row r="187" spans="6:8" s="3" customFormat="1" x14ac:dyDescent="0.2">
      <c r="F187" s="11"/>
      <c r="G187" s="11"/>
      <c r="H187" s="11"/>
    </row>
    <row r="188" spans="6:8" s="3" customFormat="1" x14ac:dyDescent="0.2">
      <c r="F188" s="11"/>
      <c r="G188" s="11"/>
      <c r="H188" s="11"/>
    </row>
  </sheetData>
  <mergeCells count="6">
    <mergeCell ref="A28:F28"/>
    <mergeCell ref="A29:F29"/>
    <mergeCell ref="A4:F4"/>
    <mergeCell ref="A5:F5"/>
    <mergeCell ref="A1:F1"/>
    <mergeCell ref="A2:F2"/>
  </mergeCells>
  <phoneticPr fontId="44" type="noConversion"/>
  <printOptions horizontalCentered="1"/>
  <pageMargins left="0.70866141732283472" right="0.70866141732283472" top="0.51181102362204722" bottom="0.78740157480314965" header="0.31496062992125984" footer="0.31496062992125984"/>
  <pageSetup paperSize="9" scale="88" orientation="portrait" r:id="rId1"/>
  <headerFooter>
    <oddHeader xml:space="preserve">&amp;R&amp;"Arial CE,Tučné"P1b
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5"/>
  <sheetViews>
    <sheetView showGridLines="0" zoomScaleNormal="100" workbookViewId="0">
      <selection activeCell="F70" sqref="F70"/>
    </sheetView>
  </sheetViews>
  <sheetFormatPr defaultRowHeight="12.75" x14ac:dyDescent="0.2"/>
  <cols>
    <col min="1" max="1" width="7.140625" customWidth="1"/>
    <col min="2" max="2" width="4" customWidth="1"/>
    <col min="3" max="3" width="5.7109375" customWidth="1"/>
    <col min="4" max="4" width="44.7109375" customWidth="1"/>
    <col min="5" max="8" width="11.7109375" style="9" bestFit="1" customWidth="1"/>
    <col min="10" max="10" width="16.85546875" customWidth="1"/>
    <col min="11" max="11" width="10.7109375" customWidth="1"/>
    <col min="13" max="13" width="10.140625" bestFit="1" customWidth="1"/>
  </cols>
  <sheetData>
    <row r="1" spans="1:8" s="8" customFormat="1" ht="14.1" customHeight="1" x14ac:dyDescent="0.2">
      <c r="A1" s="482" t="s">
        <v>398</v>
      </c>
      <c r="B1" s="482"/>
      <c r="C1" s="482"/>
      <c r="D1" s="482"/>
      <c r="E1" s="482"/>
      <c r="F1" s="482"/>
      <c r="G1" s="482"/>
      <c r="H1" s="482"/>
    </row>
    <row r="2" spans="1:8" s="8" customFormat="1" ht="14.1" customHeight="1" x14ac:dyDescent="0.25">
      <c r="A2" s="483" t="str">
        <f>Úvod!B7</f>
        <v>Domov Raspenava, příspěvková organizace</v>
      </c>
      <c r="B2" s="483"/>
      <c r="C2" s="483"/>
      <c r="D2" s="483"/>
      <c r="E2" s="483"/>
      <c r="F2" s="483"/>
      <c r="G2" s="483"/>
      <c r="H2" s="483"/>
    </row>
    <row r="3" spans="1:8" s="8" customFormat="1" ht="14.1" customHeight="1" thickBot="1" x14ac:dyDescent="0.3">
      <c r="A3" s="79"/>
      <c r="B3" s="79"/>
      <c r="C3"/>
      <c r="D3"/>
    </row>
    <row r="4" spans="1:8" ht="14.1" customHeight="1" thickBot="1" x14ac:dyDescent="0.25">
      <c r="A4" s="486" t="s">
        <v>390</v>
      </c>
      <c r="B4" s="488" t="s">
        <v>391</v>
      </c>
      <c r="C4" s="489"/>
      <c r="D4" s="488" t="s">
        <v>392</v>
      </c>
      <c r="E4" s="82" t="s">
        <v>296</v>
      </c>
      <c r="F4" s="82" t="s">
        <v>296</v>
      </c>
      <c r="G4" s="82" t="s">
        <v>296</v>
      </c>
      <c r="H4" s="155" t="s">
        <v>296</v>
      </c>
    </row>
    <row r="5" spans="1:8" ht="30" customHeight="1" thickBot="1" x14ac:dyDescent="0.25">
      <c r="A5" s="487"/>
      <c r="B5" s="490"/>
      <c r="C5" s="490"/>
      <c r="D5" s="490"/>
      <c r="E5" s="83" t="s">
        <v>201</v>
      </c>
      <c r="F5" s="83" t="s">
        <v>202</v>
      </c>
      <c r="G5" s="83" t="s">
        <v>203</v>
      </c>
      <c r="H5" s="156" t="s">
        <v>204</v>
      </c>
    </row>
    <row r="6" spans="1:8" ht="15.75" thickBot="1" x14ac:dyDescent="0.3">
      <c r="A6" s="15" t="s">
        <v>297</v>
      </c>
      <c r="B6" s="491" t="s">
        <v>137</v>
      </c>
      <c r="C6" s="492"/>
      <c r="D6" s="493"/>
      <c r="E6" s="140">
        <f>E7+E12+E17+E23+E27+E35+E44+E49+E53</f>
        <v>0</v>
      </c>
      <c r="F6" s="140">
        <f>F7+F12+F17+F23+F27+F35+F44+F49+F53</f>
        <v>0</v>
      </c>
      <c r="G6" s="140">
        <f>G7+G12+G17+G23+G27+G35+G44+G49+G53</f>
        <v>0</v>
      </c>
      <c r="H6" s="141">
        <f>H7+H12+H17+H23+H27+H35+H44+H49+H53</f>
        <v>0</v>
      </c>
    </row>
    <row r="7" spans="1:8" ht="15" x14ac:dyDescent="0.25">
      <c r="A7" s="14" t="s">
        <v>298</v>
      </c>
      <c r="B7" s="16">
        <v>50</v>
      </c>
      <c r="C7" s="23" t="s">
        <v>6</v>
      </c>
      <c r="D7" s="26"/>
      <c r="E7" s="36">
        <f>SUM(E8:E11)</f>
        <v>0</v>
      </c>
      <c r="F7" s="36">
        <f>SUM(F8:F11)</f>
        <v>0</v>
      </c>
      <c r="G7" s="36">
        <f>SUM(G8:G11)</f>
        <v>0</v>
      </c>
      <c r="H7" s="43">
        <f>SUM(H8:H11)</f>
        <v>0</v>
      </c>
    </row>
    <row r="8" spans="1:8" ht="15" x14ac:dyDescent="0.25">
      <c r="A8" s="14" t="s">
        <v>299</v>
      </c>
      <c r="B8" s="17"/>
      <c r="C8" s="24">
        <v>501</v>
      </c>
      <c r="D8" s="27" t="s">
        <v>7</v>
      </c>
      <c r="E8" s="131"/>
      <c r="F8" s="131"/>
      <c r="G8" s="131"/>
      <c r="H8" s="44">
        <f>SUM(E8:G8)</f>
        <v>0</v>
      </c>
    </row>
    <row r="9" spans="1:8" ht="15" x14ac:dyDescent="0.25">
      <c r="A9" s="14" t="s">
        <v>300</v>
      </c>
      <c r="B9" s="17"/>
      <c r="C9" s="24">
        <v>502</v>
      </c>
      <c r="D9" s="28" t="s">
        <v>140</v>
      </c>
      <c r="E9" s="131"/>
      <c r="F9" s="131"/>
      <c r="G9" s="131"/>
      <c r="H9" s="44">
        <f>SUM(E9:G9)</f>
        <v>0</v>
      </c>
    </row>
    <row r="10" spans="1:8" ht="15" x14ac:dyDescent="0.25">
      <c r="A10" s="14" t="s">
        <v>301</v>
      </c>
      <c r="B10" s="17"/>
      <c r="C10" s="24">
        <v>503</v>
      </c>
      <c r="D10" s="29" t="s">
        <v>141</v>
      </c>
      <c r="E10" s="131"/>
      <c r="F10" s="131"/>
      <c r="G10" s="131"/>
      <c r="H10" s="44">
        <f>SUM(E10:G10)</f>
        <v>0</v>
      </c>
    </row>
    <row r="11" spans="1:8" ht="15" x14ac:dyDescent="0.25">
      <c r="A11" s="14" t="s">
        <v>302</v>
      </c>
      <c r="B11" s="17"/>
      <c r="C11" s="25">
        <v>504</v>
      </c>
      <c r="D11" s="51" t="s">
        <v>8</v>
      </c>
      <c r="E11" s="131"/>
      <c r="F11" s="131"/>
      <c r="G11" s="131"/>
      <c r="H11" s="44">
        <f>SUM(E11:G11)</f>
        <v>0</v>
      </c>
    </row>
    <row r="12" spans="1:8" ht="15" x14ac:dyDescent="0.25">
      <c r="A12" s="14" t="s">
        <v>303</v>
      </c>
      <c r="B12" s="18">
        <v>51</v>
      </c>
      <c r="C12" s="484" t="s">
        <v>9</v>
      </c>
      <c r="D12" s="485"/>
      <c r="E12" s="38">
        <f>SUM(E13:E16)</f>
        <v>0</v>
      </c>
      <c r="F12" s="38">
        <f>SUM(F13:F16)</f>
        <v>0</v>
      </c>
      <c r="G12" s="38">
        <f>SUM(G13:G16)</f>
        <v>0</v>
      </c>
      <c r="H12" s="46">
        <f>SUM(H13:H16)</f>
        <v>0</v>
      </c>
    </row>
    <row r="13" spans="1:8" ht="15" x14ac:dyDescent="0.25">
      <c r="A13" s="14" t="s">
        <v>304</v>
      </c>
      <c r="B13" s="17"/>
      <c r="C13" s="24">
        <v>511</v>
      </c>
      <c r="D13" s="30" t="s">
        <v>10</v>
      </c>
      <c r="E13" s="131"/>
      <c r="F13" s="131"/>
      <c r="G13" s="131"/>
      <c r="H13" s="44">
        <f>SUM(E13:G13)</f>
        <v>0</v>
      </c>
    </row>
    <row r="14" spans="1:8" ht="15" x14ac:dyDescent="0.25">
      <c r="A14" s="14" t="s">
        <v>305</v>
      </c>
      <c r="B14" s="17"/>
      <c r="C14" s="24">
        <v>512</v>
      </c>
      <c r="D14" s="31" t="s">
        <v>11</v>
      </c>
      <c r="E14" s="131"/>
      <c r="F14" s="131"/>
      <c r="G14" s="131"/>
      <c r="H14" s="44">
        <f>SUM(E14:G14)</f>
        <v>0</v>
      </c>
    </row>
    <row r="15" spans="1:8" ht="15" x14ac:dyDescent="0.25">
      <c r="A15" s="14" t="s">
        <v>306</v>
      </c>
      <c r="B15" s="17"/>
      <c r="C15" s="24">
        <v>513</v>
      </c>
      <c r="D15" s="13" t="s">
        <v>12</v>
      </c>
      <c r="E15" s="131"/>
      <c r="F15" s="131"/>
      <c r="G15" s="131"/>
      <c r="H15" s="44">
        <f>SUM(E15:G15)</f>
        <v>0</v>
      </c>
    </row>
    <row r="16" spans="1:8" ht="15" x14ac:dyDescent="0.25">
      <c r="A16" s="14" t="s">
        <v>307</v>
      </c>
      <c r="B16" s="17"/>
      <c r="C16" s="24">
        <v>518</v>
      </c>
      <c r="D16" s="29" t="s">
        <v>13</v>
      </c>
      <c r="E16" s="131"/>
      <c r="F16" s="131"/>
      <c r="G16" s="131"/>
      <c r="H16" s="44">
        <f>SUM(E16:G16)</f>
        <v>0</v>
      </c>
    </row>
    <row r="17" spans="1:8" ht="15" x14ac:dyDescent="0.25">
      <c r="A17" s="14" t="s">
        <v>308</v>
      </c>
      <c r="B17" s="18">
        <v>52</v>
      </c>
      <c r="C17" s="484" t="s">
        <v>14</v>
      </c>
      <c r="D17" s="485"/>
      <c r="E17" s="38">
        <f>SUM(E18:E22)</f>
        <v>0</v>
      </c>
      <c r="F17" s="38">
        <f>SUM(F18:F22)</f>
        <v>0</v>
      </c>
      <c r="G17" s="38">
        <f>SUM(G18:G22)</f>
        <v>0</v>
      </c>
      <c r="H17" s="46">
        <f>SUM(H18:H22)</f>
        <v>0</v>
      </c>
    </row>
    <row r="18" spans="1:8" ht="15" x14ac:dyDescent="0.25">
      <c r="A18" s="14" t="s">
        <v>309</v>
      </c>
      <c r="B18" s="17"/>
      <c r="C18" s="24">
        <v>521</v>
      </c>
      <c r="D18" s="29" t="s">
        <v>15</v>
      </c>
      <c r="E18" s="131"/>
      <c r="F18" s="131"/>
      <c r="G18" s="131"/>
      <c r="H18" s="44">
        <f>SUM(E18:G18)</f>
        <v>0</v>
      </c>
    </row>
    <row r="19" spans="1:8" ht="15" x14ac:dyDescent="0.25">
      <c r="A19" s="14" t="s">
        <v>310</v>
      </c>
      <c r="B19" s="17"/>
      <c r="C19" s="24">
        <v>524</v>
      </c>
      <c r="D19" s="29" t="s">
        <v>16</v>
      </c>
      <c r="E19" s="131"/>
      <c r="F19" s="131"/>
      <c r="G19" s="131"/>
      <c r="H19" s="44">
        <f>SUM(E19:G19)</f>
        <v>0</v>
      </c>
    </row>
    <row r="20" spans="1:8" ht="15" x14ac:dyDescent="0.25">
      <c r="A20" s="14" t="s">
        <v>311</v>
      </c>
      <c r="B20" s="17"/>
      <c r="C20" s="24">
        <v>525</v>
      </c>
      <c r="D20" s="29" t="s">
        <v>17</v>
      </c>
      <c r="E20" s="131"/>
      <c r="F20" s="131"/>
      <c r="G20" s="131"/>
      <c r="H20" s="44">
        <f>SUM(E20:G20)</f>
        <v>0</v>
      </c>
    </row>
    <row r="21" spans="1:8" ht="15" x14ac:dyDescent="0.25">
      <c r="A21" s="14" t="s">
        <v>312</v>
      </c>
      <c r="B21" s="17"/>
      <c r="C21" s="24">
        <v>527</v>
      </c>
      <c r="D21" s="29" t="s">
        <v>18</v>
      </c>
      <c r="E21" s="131"/>
      <c r="F21" s="131"/>
      <c r="G21" s="131"/>
      <c r="H21" s="44">
        <f>SUM(E21:G21)</f>
        <v>0</v>
      </c>
    </row>
    <row r="22" spans="1:8" ht="15" x14ac:dyDescent="0.25">
      <c r="A22" s="14" t="s">
        <v>313</v>
      </c>
      <c r="B22" s="17"/>
      <c r="C22" s="25">
        <v>528</v>
      </c>
      <c r="D22" s="32" t="s">
        <v>19</v>
      </c>
      <c r="E22" s="131"/>
      <c r="F22" s="131"/>
      <c r="G22" s="131"/>
      <c r="H22" s="44">
        <f>SUM(E22:G22)</f>
        <v>0</v>
      </c>
    </row>
    <row r="23" spans="1:8" ht="15" x14ac:dyDescent="0.25">
      <c r="A23" s="14" t="s">
        <v>314</v>
      </c>
      <c r="B23" s="18">
        <v>53</v>
      </c>
      <c r="C23" s="484" t="s">
        <v>20</v>
      </c>
      <c r="D23" s="485"/>
      <c r="E23" s="38">
        <f>SUM(E24:E26)</f>
        <v>0</v>
      </c>
      <c r="F23" s="38">
        <f>SUM(F24:F26)</f>
        <v>0</v>
      </c>
      <c r="G23" s="38">
        <f>SUM(G24:G26)</f>
        <v>0</v>
      </c>
      <c r="H23" s="46">
        <f>SUM(H24:H26)</f>
        <v>0</v>
      </c>
    </row>
    <row r="24" spans="1:8" ht="15" x14ac:dyDescent="0.25">
      <c r="A24" s="14" t="s">
        <v>315</v>
      </c>
      <c r="B24" s="17"/>
      <c r="C24" s="24">
        <v>531</v>
      </c>
      <c r="D24" s="33" t="s">
        <v>21</v>
      </c>
      <c r="E24" s="131"/>
      <c r="F24" s="131"/>
      <c r="G24" s="131"/>
      <c r="H24" s="44">
        <f>SUM(E24:G24)</f>
        <v>0</v>
      </c>
    </row>
    <row r="25" spans="1:8" ht="15" x14ac:dyDescent="0.25">
      <c r="A25" s="14" t="s">
        <v>316</v>
      </c>
      <c r="B25" s="17"/>
      <c r="C25" s="24">
        <v>532</v>
      </c>
      <c r="D25" s="34" t="s">
        <v>22</v>
      </c>
      <c r="E25" s="131"/>
      <c r="F25" s="131"/>
      <c r="G25" s="131"/>
      <c r="H25" s="44">
        <f>SUM(E25:G25)</f>
        <v>0</v>
      </c>
    </row>
    <row r="26" spans="1:8" ht="15" x14ac:dyDescent="0.25">
      <c r="A26" s="14" t="s">
        <v>317</v>
      </c>
      <c r="B26" s="17"/>
      <c r="C26" s="24">
        <v>538</v>
      </c>
      <c r="D26" s="28" t="s">
        <v>23</v>
      </c>
      <c r="E26" s="131"/>
      <c r="F26" s="131"/>
      <c r="G26" s="131"/>
      <c r="H26" s="44">
        <f>SUM(E26:G26)</f>
        <v>0</v>
      </c>
    </row>
    <row r="27" spans="1:8" ht="15" x14ac:dyDescent="0.25">
      <c r="A27" s="14" t="s">
        <v>318</v>
      </c>
      <c r="B27" s="19">
        <v>54</v>
      </c>
      <c r="C27" s="484" t="s">
        <v>24</v>
      </c>
      <c r="D27" s="485"/>
      <c r="E27" s="39">
        <f>SUM(E28:E34)</f>
        <v>0</v>
      </c>
      <c r="F27" s="39">
        <f>SUM(F28:F34)</f>
        <v>0</v>
      </c>
      <c r="G27" s="39">
        <f>SUM(G28:G34)</f>
        <v>0</v>
      </c>
      <c r="H27" s="47">
        <f>SUM(H28:H34)</f>
        <v>0</v>
      </c>
    </row>
    <row r="28" spans="1:8" ht="15" x14ac:dyDescent="0.25">
      <c r="A28" s="14" t="s">
        <v>319</v>
      </c>
      <c r="B28" s="13"/>
      <c r="C28" s="24">
        <v>541</v>
      </c>
      <c r="D28" s="29" t="s">
        <v>25</v>
      </c>
      <c r="E28" s="133"/>
      <c r="F28" s="133"/>
      <c r="G28" s="133"/>
      <c r="H28" s="44">
        <f t="shared" ref="H28:H34" si="0">SUM(E28:G28)</f>
        <v>0</v>
      </c>
    </row>
    <row r="29" spans="1:8" ht="15" x14ac:dyDescent="0.25">
      <c r="A29" s="14" t="s">
        <v>320</v>
      </c>
      <c r="B29" s="13"/>
      <c r="C29" s="24">
        <v>542</v>
      </c>
      <c r="D29" s="29" t="s">
        <v>26</v>
      </c>
      <c r="E29" s="133"/>
      <c r="F29" s="133"/>
      <c r="G29" s="133"/>
      <c r="H29" s="44">
        <f t="shared" si="0"/>
        <v>0</v>
      </c>
    </row>
    <row r="30" spans="1:8" ht="15" x14ac:dyDescent="0.25">
      <c r="A30" s="14" t="s">
        <v>321</v>
      </c>
      <c r="B30" s="13"/>
      <c r="C30" s="24">
        <v>543</v>
      </c>
      <c r="D30" s="29" t="s">
        <v>27</v>
      </c>
      <c r="E30" s="133"/>
      <c r="F30" s="133"/>
      <c r="G30" s="133"/>
      <c r="H30" s="44">
        <f t="shared" si="0"/>
        <v>0</v>
      </c>
    </row>
    <row r="31" spans="1:8" ht="15" x14ac:dyDescent="0.25">
      <c r="A31" s="14" t="s">
        <v>322</v>
      </c>
      <c r="B31" s="13"/>
      <c r="C31" s="24">
        <v>544</v>
      </c>
      <c r="D31" s="29" t="s">
        <v>28</v>
      </c>
      <c r="E31" s="131"/>
      <c r="F31" s="131"/>
      <c r="G31" s="131"/>
      <c r="H31" s="44">
        <f t="shared" si="0"/>
        <v>0</v>
      </c>
    </row>
    <row r="32" spans="1:8" ht="15" x14ac:dyDescent="0.25">
      <c r="A32" s="14" t="s">
        <v>323</v>
      </c>
      <c r="B32" s="13"/>
      <c r="C32" s="24">
        <v>547</v>
      </c>
      <c r="D32" s="29" t="s">
        <v>29</v>
      </c>
      <c r="E32" s="131"/>
      <c r="F32" s="131"/>
      <c r="G32" s="131"/>
      <c r="H32" s="44">
        <f t="shared" si="0"/>
        <v>0</v>
      </c>
    </row>
    <row r="33" spans="1:8" ht="15" x14ac:dyDescent="0.25">
      <c r="A33" s="14" t="s">
        <v>324</v>
      </c>
      <c r="B33" s="13"/>
      <c r="C33" s="24">
        <v>548</v>
      </c>
      <c r="D33" s="29" t="s">
        <v>30</v>
      </c>
      <c r="E33" s="133"/>
      <c r="F33" s="133"/>
      <c r="G33" s="133"/>
      <c r="H33" s="44">
        <f t="shared" si="0"/>
        <v>0</v>
      </c>
    </row>
    <row r="34" spans="1:8" ht="15" x14ac:dyDescent="0.25">
      <c r="A34" s="14" t="s">
        <v>325</v>
      </c>
      <c r="B34" s="13"/>
      <c r="C34" s="25">
        <v>549</v>
      </c>
      <c r="D34" s="20" t="s">
        <v>31</v>
      </c>
      <c r="E34" s="131"/>
      <c r="F34" s="131"/>
      <c r="G34" s="131"/>
      <c r="H34" s="44">
        <f t="shared" si="0"/>
        <v>0</v>
      </c>
    </row>
    <row r="35" spans="1:8" ht="15" x14ac:dyDescent="0.25">
      <c r="A35" s="14" t="s">
        <v>326</v>
      </c>
      <c r="B35" s="18">
        <v>55</v>
      </c>
      <c r="C35" s="484" t="s">
        <v>32</v>
      </c>
      <c r="D35" s="485"/>
      <c r="E35" s="38">
        <f>SUM(E36:E43)</f>
        <v>0</v>
      </c>
      <c r="F35" s="38">
        <f>SUM(F36:F43)</f>
        <v>0</v>
      </c>
      <c r="G35" s="38">
        <f>SUM(G36:G43)</f>
        <v>0</v>
      </c>
      <c r="H35" s="46">
        <f>SUM(H36:H43)</f>
        <v>0</v>
      </c>
    </row>
    <row r="36" spans="1:8" ht="15" x14ac:dyDescent="0.25">
      <c r="A36" s="14" t="s">
        <v>327</v>
      </c>
      <c r="B36" s="17"/>
      <c r="C36" s="24">
        <v>551</v>
      </c>
      <c r="D36" s="29" t="s">
        <v>33</v>
      </c>
      <c r="E36" s="131"/>
      <c r="F36" s="131"/>
      <c r="G36" s="131"/>
      <c r="H36" s="44">
        <f t="shared" ref="H36:H43" si="1">SUM(E36:G36)</f>
        <v>0</v>
      </c>
    </row>
    <row r="37" spans="1:8" ht="15" x14ac:dyDescent="0.25">
      <c r="A37" s="14" t="s">
        <v>328</v>
      </c>
      <c r="B37" s="13"/>
      <c r="C37" s="24">
        <v>552</v>
      </c>
      <c r="D37" s="29" t="s">
        <v>126</v>
      </c>
      <c r="E37" s="131"/>
      <c r="F37" s="131"/>
      <c r="G37" s="131"/>
      <c r="H37" s="44">
        <f t="shared" si="1"/>
        <v>0</v>
      </c>
    </row>
    <row r="38" spans="1:8" ht="15" x14ac:dyDescent="0.25">
      <c r="A38" s="14" t="s">
        <v>329</v>
      </c>
      <c r="B38" s="13"/>
      <c r="C38" s="24">
        <v>553</v>
      </c>
      <c r="D38" s="29" t="s">
        <v>127</v>
      </c>
      <c r="E38" s="131"/>
      <c r="F38" s="131"/>
      <c r="G38" s="131"/>
      <c r="H38" s="44">
        <f t="shared" si="1"/>
        <v>0</v>
      </c>
    </row>
    <row r="39" spans="1:8" ht="15" x14ac:dyDescent="0.25">
      <c r="A39" s="14" t="s">
        <v>330</v>
      </c>
      <c r="B39" s="13"/>
      <c r="C39" s="24">
        <v>554</v>
      </c>
      <c r="D39" s="29" t="s">
        <v>34</v>
      </c>
      <c r="E39" s="131"/>
      <c r="F39" s="131"/>
      <c r="G39" s="131"/>
      <c r="H39" s="44">
        <f t="shared" si="1"/>
        <v>0</v>
      </c>
    </row>
    <row r="40" spans="1:8" ht="15" x14ac:dyDescent="0.25">
      <c r="A40" s="14" t="s">
        <v>331</v>
      </c>
      <c r="B40" s="13"/>
      <c r="C40" s="24">
        <v>555</v>
      </c>
      <c r="D40" s="29" t="s">
        <v>35</v>
      </c>
      <c r="E40" s="131"/>
      <c r="F40" s="131"/>
      <c r="G40" s="131"/>
      <c r="H40" s="44">
        <f t="shared" si="1"/>
        <v>0</v>
      </c>
    </row>
    <row r="41" spans="1:8" ht="15" x14ac:dyDescent="0.25">
      <c r="A41" s="14" t="s">
        <v>332</v>
      </c>
      <c r="B41" s="13"/>
      <c r="C41" s="25">
        <v>556</v>
      </c>
      <c r="D41" s="20" t="s">
        <v>36</v>
      </c>
      <c r="E41" s="131"/>
      <c r="F41" s="131"/>
      <c r="G41" s="131"/>
      <c r="H41" s="44">
        <f t="shared" si="1"/>
        <v>0</v>
      </c>
    </row>
    <row r="42" spans="1:8" ht="15" x14ac:dyDescent="0.25">
      <c r="A42" s="14" t="s">
        <v>333</v>
      </c>
      <c r="B42" s="13"/>
      <c r="C42" s="25">
        <v>557</v>
      </c>
      <c r="D42" s="20" t="s">
        <v>37</v>
      </c>
      <c r="E42" s="131"/>
      <c r="F42" s="131"/>
      <c r="G42" s="131"/>
      <c r="H42" s="44">
        <f t="shared" si="1"/>
        <v>0</v>
      </c>
    </row>
    <row r="43" spans="1:8" ht="15" x14ac:dyDescent="0.25">
      <c r="A43" s="14" t="s">
        <v>334</v>
      </c>
      <c r="B43" s="13"/>
      <c r="C43" s="25">
        <v>558</v>
      </c>
      <c r="D43" s="20" t="s">
        <v>38</v>
      </c>
      <c r="E43" s="131"/>
      <c r="F43" s="131"/>
      <c r="G43" s="131"/>
      <c r="H43" s="44">
        <f t="shared" si="1"/>
        <v>0</v>
      </c>
    </row>
    <row r="44" spans="1:8" ht="15" x14ac:dyDescent="0.25">
      <c r="A44" s="14" t="s">
        <v>335</v>
      </c>
      <c r="B44" s="18">
        <v>56</v>
      </c>
      <c r="C44" s="484" t="s">
        <v>39</v>
      </c>
      <c r="D44" s="485"/>
      <c r="E44" s="38">
        <f>SUM(E45:E48)</f>
        <v>0</v>
      </c>
      <c r="F44" s="38">
        <f>SUM(F45:F48)</f>
        <v>0</v>
      </c>
      <c r="G44" s="38">
        <f>SUM(G45:G48)</f>
        <v>0</v>
      </c>
      <c r="H44" s="46">
        <f>SUM(H45:H48)</f>
        <v>0</v>
      </c>
    </row>
    <row r="45" spans="1:8" ht="15" x14ac:dyDescent="0.25">
      <c r="A45" s="14" t="s">
        <v>336</v>
      </c>
      <c r="B45" s="13"/>
      <c r="C45" s="25">
        <v>562</v>
      </c>
      <c r="D45" s="32" t="s">
        <v>40</v>
      </c>
      <c r="E45" s="131"/>
      <c r="F45" s="131"/>
      <c r="G45" s="131"/>
      <c r="H45" s="44">
        <f>SUM(E45:G45)</f>
        <v>0</v>
      </c>
    </row>
    <row r="46" spans="1:8" ht="15" x14ac:dyDescent="0.25">
      <c r="A46" s="14" t="s">
        <v>337</v>
      </c>
      <c r="B46" s="13"/>
      <c r="C46" s="25">
        <v>563</v>
      </c>
      <c r="D46" s="32" t="s">
        <v>41</v>
      </c>
      <c r="E46" s="131"/>
      <c r="F46" s="131"/>
      <c r="G46" s="131"/>
      <c r="H46" s="44">
        <f>SUM(E46:G46)</f>
        <v>0</v>
      </c>
    </row>
    <row r="47" spans="1:8" ht="15" x14ac:dyDescent="0.25">
      <c r="A47" s="14" t="s">
        <v>338</v>
      </c>
      <c r="B47" s="13"/>
      <c r="C47" s="25">
        <v>564</v>
      </c>
      <c r="D47" s="32" t="s">
        <v>42</v>
      </c>
      <c r="E47" s="131"/>
      <c r="F47" s="131"/>
      <c r="G47" s="131"/>
      <c r="H47" s="44">
        <f>SUM(E47:G47)</f>
        <v>0</v>
      </c>
    </row>
    <row r="48" spans="1:8" ht="15" x14ac:dyDescent="0.25">
      <c r="A48" s="14" t="s">
        <v>339</v>
      </c>
      <c r="B48" s="13"/>
      <c r="C48" s="25">
        <v>569</v>
      </c>
      <c r="D48" s="32" t="s">
        <v>43</v>
      </c>
      <c r="E48" s="131"/>
      <c r="F48" s="131"/>
      <c r="G48" s="131"/>
      <c r="H48" s="44">
        <f>SUM(E48:G48)</f>
        <v>0</v>
      </c>
    </row>
    <row r="49" spans="1:8" ht="15" x14ac:dyDescent="0.25">
      <c r="A49" s="14" t="s">
        <v>340</v>
      </c>
      <c r="B49" s="18">
        <v>57</v>
      </c>
      <c r="C49" s="484" t="s">
        <v>129</v>
      </c>
      <c r="D49" s="485"/>
      <c r="E49" s="38">
        <f>SUM(E50:E52)</f>
        <v>0</v>
      </c>
      <c r="F49" s="38">
        <f>SUM(F50:F52)</f>
        <v>0</v>
      </c>
      <c r="G49" s="38">
        <f>SUM(G50:G52)</f>
        <v>0</v>
      </c>
      <c r="H49" s="46">
        <f>SUM(H50:H52)</f>
        <v>0</v>
      </c>
    </row>
    <row r="50" spans="1:8" ht="15" x14ac:dyDescent="0.25">
      <c r="A50" s="14" t="s">
        <v>341</v>
      </c>
      <c r="B50" s="13"/>
      <c r="C50" s="25">
        <v>571</v>
      </c>
      <c r="D50" s="32" t="s">
        <v>44</v>
      </c>
      <c r="E50" s="131"/>
      <c r="F50" s="131"/>
      <c r="G50" s="131"/>
      <c r="H50" s="44">
        <f>SUM(E50:G50)</f>
        <v>0</v>
      </c>
    </row>
    <row r="51" spans="1:8" ht="15" x14ac:dyDescent="0.25">
      <c r="A51" s="14" t="s">
        <v>342</v>
      </c>
      <c r="B51" s="13"/>
      <c r="C51" s="25">
        <v>572</v>
      </c>
      <c r="D51" s="32" t="s">
        <v>128</v>
      </c>
      <c r="E51" s="131"/>
      <c r="F51" s="131"/>
      <c r="G51" s="131"/>
      <c r="H51" s="44">
        <f>SUM(E51:G51)</f>
        <v>0</v>
      </c>
    </row>
    <row r="52" spans="1:8" ht="15" x14ac:dyDescent="0.25">
      <c r="A52" s="14" t="s">
        <v>343</v>
      </c>
      <c r="B52" s="13"/>
      <c r="C52" s="25">
        <v>574</v>
      </c>
      <c r="D52" s="32" t="s">
        <v>45</v>
      </c>
      <c r="E52" s="131"/>
      <c r="F52" s="131"/>
      <c r="G52" s="131"/>
      <c r="H52" s="44">
        <f>SUM(E52:G52)</f>
        <v>0</v>
      </c>
    </row>
    <row r="53" spans="1:8" ht="15" x14ac:dyDescent="0.25">
      <c r="A53" s="14" t="s">
        <v>344</v>
      </c>
      <c r="B53" s="18">
        <v>59</v>
      </c>
      <c r="C53" s="484" t="s">
        <v>46</v>
      </c>
      <c r="D53" s="485"/>
      <c r="E53" s="38">
        <f>SUM(E54:E55)</f>
        <v>0</v>
      </c>
      <c r="F53" s="38">
        <f>SUM(F54:F55)</f>
        <v>0</v>
      </c>
      <c r="G53" s="38">
        <f>SUM(G54:G55)</f>
        <v>0</v>
      </c>
      <c r="H53" s="46">
        <f>SUM(H54:H55)</f>
        <v>0</v>
      </c>
    </row>
    <row r="54" spans="1:8" ht="15" x14ac:dyDescent="0.25">
      <c r="A54" s="14" t="s">
        <v>345</v>
      </c>
      <c r="B54" s="20"/>
      <c r="C54" s="24">
        <v>591</v>
      </c>
      <c r="D54" s="28" t="s">
        <v>47</v>
      </c>
      <c r="E54" s="131">
        <v>0</v>
      </c>
      <c r="F54" s="131">
        <v>0</v>
      </c>
      <c r="G54" s="131">
        <v>0</v>
      </c>
      <c r="H54" s="44">
        <f>SUM(E54:G54)</f>
        <v>0</v>
      </c>
    </row>
    <row r="55" spans="1:8" ht="15.75" thickBot="1" x14ac:dyDescent="0.3">
      <c r="A55" s="157" t="s">
        <v>346</v>
      </c>
      <c r="B55" s="21"/>
      <c r="C55" s="80">
        <v>595</v>
      </c>
      <c r="D55" s="81" t="s">
        <v>48</v>
      </c>
      <c r="E55" s="159">
        <v>0</v>
      </c>
      <c r="F55" s="159">
        <v>0</v>
      </c>
      <c r="G55" s="159">
        <v>0</v>
      </c>
      <c r="H55" s="158">
        <f>SUM(E55:G55)</f>
        <v>0</v>
      </c>
    </row>
  </sheetData>
  <mergeCells count="14">
    <mergeCell ref="A1:H1"/>
    <mergeCell ref="A2:H2"/>
    <mergeCell ref="C53:D53"/>
    <mergeCell ref="A4:A5"/>
    <mergeCell ref="B4:C5"/>
    <mergeCell ref="D4:D5"/>
    <mergeCell ref="C23:D23"/>
    <mergeCell ref="C27:D27"/>
    <mergeCell ref="C35:D35"/>
    <mergeCell ref="C44:D44"/>
    <mergeCell ref="C49:D49"/>
    <mergeCell ref="B6:D6"/>
    <mergeCell ref="C12:D12"/>
    <mergeCell ref="C17:D17"/>
  </mergeCells>
  <phoneticPr fontId="44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81" orientation="portrait" r:id="rId1"/>
  <headerFooter>
    <oddHeader>&amp;R&amp;"Arial CE,Tučné"P1c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showGridLines="0" topLeftCell="A13" zoomScaleNormal="100" workbookViewId="0">
      <selection activeCell="C31" sqref="C31:C32"/>
    </sheetView>
  </sheetViews>
  <sheetFormatPr defaultRowHeight="12.75" x14ac:dyDescent="0.2"/>
  <cols>
    <col min="1" max="1" width="4.7109375" customWidth="1"/>
    <col min="2" max="2" width="59" customWidth="1"/>
    <col min="3" max="3" width="24.42578125" style="9" customWidth="1"/>
    <col min="4" max="4" width="3" customWidth="1"/>
    <col min="5" max="5" width="28.5703125" customWidth="1"/>
    <col min="6" max="6" width="10" style="9" bestFit="1" customWidth="1"/>
  </cols>
  <sheetData>
    <row r="1" spans="1:7" s="3" customFormat="1" ht="16.5" customHeight="1" x14ac:dyDescent="0.3">
      <c r="A1" s="494" t="s">
        <v>423</v>
      </c>
      <c r="B1" s="494"/>
      <c r="C1" s="494"/>
      <c r="D1" s="52"/>
    </row>
    <row r="2" spans="1:7" s="3" customFormat="1" ht="16.5" customHeight="1" x14ac:dyDescent="0.3">
      <c r="A2" s="495" t="str">
        <f>Úvod!B7</f>
        <v>Domov Raspenava, příspěvková organizace</v>
      </c>
      <c r="B2" s="495"/>
      <c r="C2" s="495"/>
      <c r="D2" s="161"/>
      <c r="E2" s="143"/>
      <c r="F2" s="143"/>
      <c r="G2" s="143"/>
    </row>
    <row r="3" spans="1:7" s="3" customFormat="1" ht="16.5" customHeight="1" thickBot="1" x14ac:dyDescent="0.25">
      <c r="A3" s="496"/>
      <c r="B3" s="496"/>
      <c r="C3" s="496"/>
      <c r="D3" s="57"/>
    </row>
    <row r="4" spans="1:7" s="3" customFormat="1" ht="15" customHeight="1" thickBot="1" x14ac:dyDescent="0.25">
      <c r="A4" s="266" t="s">
        <v>395</v>
      </c>
      <c r="B4" s="267" t="s">
        <v>147</v>
      </c>
      <c r="C4" s="268" t="s">
        <v>171</v>
      </c>
      <c r="D4" s="58"/>
    </row>
    <row r="5" spans="1:7" s="3" customFormat="1" ht="15" customHeight="1" x14ac:dyDescent="0.25">
      <c r="A5" s="269" t="s">
        <v>297</v>
      </c>
      <c r="B5" s="270" t="s">
        <v>148</v>
      </c>
      <c r="C5" s="178">
        <v>613490.52</v>
      </c>
      <c r="D5" s="13"/>
    </row>
    <row r="6" spans="1:7" s="3" customFormat="1" ht="15" customHeight="1" x14ac:dyDescent="0.25">
      <c r="A6" s="271" t="s">
        <v>298</v>
      </c>
      <c r="B6" s="272" t="s">
        <v>79</v>
      </c>
      <c r="C6" s="179">
        <v>0</v>
      </c>
      <c r="D6" s="13"/>
    </row>
    <row r="7" spans="1:7" s="3" customFormat="1" ht="15" customHeight="1" x14ac:dyDescent="0.25">
      <c r="A7" s="271" t="s">
        <v>299</v>
      </c>
      <c r="B7" s="272" t="s">
        <v>80</v>
      </c>
      <c r="C7" s="179">
        <v>0</v>
      </c>
      <c r="D7" s="13"/>
    </row>
    <row r="8" spans="1:7" s="3" customFormat="1" ht="15" customHeight="1" x14ac:dyDescent="0.25">
      <c r="A8" s="271" t="s">
        <v>300</v>
      </c>
      <c r="B8" s="272" t="s">
        <v>149</v>
      </c>
      <c r="C8" s="179">
        <v>0</v>
      </c>
      <c r="D8" s="13"/>
    </row>
    <row r="9" spans="1:7" s="3" customFormat="1" ht="15" customHeight="1" x14ac:dyDescent="0.2">
      <c r="A9" s="271" t="s">
        <v>301</v>
      </c>
      <c r="B9" s="273" t="s">
        <v>150</v>
      </c>
      <c r="C9" s="394">
        <f>SUM(C6:C8)</f>
        <v>0</v>
      </c>
      <c r="D9" s="58"/>
    </row>
    <row r="10" spans="1:7" s="3" customFormat="1" ht="15" customHeight="1" x14ac:dyDescent="0.25">
      <c r="A10" s="271" t="s">
        <v>302</v>
      </c>
      <c r="B10" s="272" t="s">
        <v>151</v>
      </c>
      <c r="C10" s="179">
        <v>100000</v>
      </c>
      <c r="D10" s="13"/>
    </row>
    <row r="11" spans="1:7" s="3" customFormat="1" ht="15" customHeight="1" x14ac:dyDescent="0.25">
      <c r="A11" s="271" t="s">
        <v>303</v>
      </c>
      <c r="B11" s="272" t="s">
        <v>81</v>
      </c>
      <c r="C11" s="179">
        <v>0</v>
      </c>
      <c r="D11" s="13"/>
    </row>
    <row r="12" spans="1:7" s="3" customFormat="1" ht="15" customHeight="1" x14ac:dyDescent="0.25">
      <c r="A12" s="271" t="s">
        <v>304</v>
      </c>
      <c r="B12" s="272" t="s">
        <v>152</v>
      </c>
      <c r="C12" s="179">
        <v>0</v>
      </c>
      <c r="D12" s="13"/>
    </row>
    <row r="13" spans="1:7" s="3" customFormat="1" ht="15" customHeight="1" x14ac:dyDescent="0.25">
      <c r="A13" s="271" t="s">
        <v>305</v>
      </c>
      <c r="B13" s="272" t="s">
        <v>153</v>
      </c>
      <c r="C13" s="179">
        <v>0</v>
      </c>
      <c r="D13" s="13"/>
    </row>
    <row r="14" spans="1:7" s="3" customFormat="1" ht="15" customHeight="1" x14ac:dyDescent="0.25">
      <c r="A14" s="271" t="s">
        <v>306</v>
      </c>
      <c r="B14" s="272" t="s">
        <v>154</v>
      </c>
      <c r="C14" s="179">
        <v>0</v>
      </c>
      <c r="D14" s="13"/>
    </row>
    <row r="15" spans="1:7" s="3" customFormat="1" ht="15" customHeight="1" x14ac:dyDescent="0.2">
      <c r="A15" s="271" t="s">
        <v>307</v>
      </c>
      <c r="B15" s="273" t="s">
        <v>155</v>
      </c>
      <c r="C15" s="394">
        <f>SUM(C10:C14)</f>
        <v>100000</v>
      </c>
      <c r="D15" s="58"/>
    </row>
    <row r="16" spans="1:7" s="3" customFormat="1" ht="15" customHeight="1" thickBot="1" x14ac:dyDescent="0.25">
      <c r="A16" s="274" t="s">
        <v>308</v>
      </c>
      <c r="B16" s="275" t="s">
        <v>156</v>
      </c>
      <c r="C16" s="395">
        <f>C5+C9-C15</f>
        <v>513490.52</v>
      </c>
      <c r="D16" s="58"/>
    </row>
    <row r="17" spans="1:4" s="3" customFormat="1" ht="15" customHeight="1" thickBot="1" x14ac:dyDescent="0.3">
      <c r="A17" s="276"/>
      <c r="B17" s="277"/>
      <c r="C17" s="278"/>
      <c r="D17" s="62"/>
    </row>
    <row r="18" spans="1:4" s="3" customFormat="1" ht="15" customHeight="1" thickBot="1" x14ac:dyDescent="0.25">
      <c r="A18" s="266" t="s">
        <v>395</v>
      </c>
      <c r="B18" s="267" t="s">
        <v>157</v>
      </c>
      <c r="C18" s="268" t="s">
        <v>171</v>
      </c>
      <c r="D18" s="62"/>
    </row>
    <row r="19" spans="1:4" s="3" customFormat="1" ht="15" customHeight="1" x14ac:dyDescent="0.2">
      <c r="A19" s="269" t="s">
        <v>309</v>
      </c>
      <c r="B19" s="270" t="s">
        <v>148</v>
      </c>
      <c r="C19" s="178">
        <v>1031864.17</v>
      </c>
      <c r="D19" s="63"/>
    </row>
    <row r="20" spans="1:4" s="3" customFormat="1" ht="15" customHeight="1" x14ac:dyDescent="0.25">
      <c r="A20" s="271" t="s">
        <v>310</v>
      </c>
      <c r="B20" s="272" t="s">
        <v>158</v>
      </c>
      <c r="C20" s="396">
        <f>C11</f>
        <v>0</v>
      </c>
      <c r="D20" s="13"/>
    </row>
    <row r="21" spans="1:4" s="3" customFormat="1" ht="15" customHeight="1" x14ac:dyDescent="0.25">
      <c r="A21" s="271" t="s">
        <v>311</v>
      </c>
      <c r="B21" s="272" t="s">
        <v>159</v>
      </c>
      <c r="C21" s="396">
        <f>'P5 Plán - odpisy'!G31</f>
        <v>644184</v>
      </c>
      <c r="D21" s="13"/>
    </row>
    <row r="22" spans="1:4" s="3" customFormat="1" ht="15" customHeight="1" x14ac:dyDescent="0.25">
      <c r="A22" s="271" t="s">
        <v>312</v>
      </c>
      <c r="B22" s="272" t="s">
        <v>160</v>
      </c>
      <c r="C22" s="396">
        <f>'P4 Plán - investice'!E10+'P4 Plán - investice'!E29</f>
        <v>0</v>
      </c>
      <c r="D22" s="64"/>
    </row>
    <row r="23" spans="1:4" s="3" customFormat="1" ht="15" customHeight="1" x14ac:dyDescent="0.25">
      <c r="A23" s="271" t="s">
        <v>313</v>
      </c>
      <c r="B23" s="272" t="s">
        <v>161</v>
      </c>
      <c r="C23" s="444">
        <v>0</v>
      </c>
      <c r="D23" s="13"/>
    </row>
    <row r="24" spans="1:4" s="3" customFormat="1" ht="15" customHeight="1" x14ac:dyDescent="0.25">
      <c r="A24" s="271" t="s">
        <v>314</v>
      </c>
      <c r="B24" s="272" t="s">
        <v>399</v>
      </c>
      <c r="C24" s="444">
        <v>0</v>
      </c>
      <c r="D24" s="13"/>
    </row>
    <row r="25" spans="1:4" s="3" customFormat="1" ht="15" customHeight="1" x14ac:dyDescent="0.25">
      <c r="A25" s="271" t="s">
        <v>315</v>
      </c>
      <c r="B25" s="272" t="s">
        <v>162</v>
      </c>
      <c r="C25" s="444">
        <v>0</v>
      </c>
      <c r="D25" s="13"/>
    </row>
    <row r="26" spans="1:4" s="3" customFormat="1" ht="15" customHeight="1" x14ac:dyDescent="0.25">
      <c r="A26" s="271" t="s">
        <v>316</v>
      </c>
      <c r="B26" s="272" t="s">
        <v>163</v>
      </c>
      <c r="C26" s="444">
        <v>0</v>
      </c>
      <c r="D26" s="13"/>
    </row>
    <row r="27" spans="1:4" s="3" customFormat="1" ht="15" customHeight="1" x14ac:dyDescent="0.2">
      <c r="A27" s="271" t="s">
        <v>317</v>
      </c>
      <c r="B27" s="273" t="s">
        <v>150</v>
      </c>
      <c r="C27" s="394">
        <f>SUM(C20:C26)</f>
        <v>644184</v>
      </c>
      <c r="D27" s="58"/>
    </row>
    <row r="28" spans="1:4" s="3" customFormat="1" ht="15" customHeight="1" x14ac:dyDescent="0.25">
      <c r="A28" s="271" t="s">
        <v>318</v>
      </c>
      <c r="B28" s="272" t="s">
        <v>164</v>
      </c>
      <c r="C28" s="396">
        <f>'P4 Plán - investice'!C10</f>
        <v>200000</v>
      </c>
      <c r="D28" s="13"/>
    </row>
    <row r="29" spans="1:4" s="3" customFormat="1" ht="15" customHeight="1" x14ac:dyDescent="0.25">
      <c r="A29" s="271" t="s">
        <v>319</v>
      </c>
      <c r="B29" s="279" t="s">
        <v>165</v>
      </c>
      <c r="C29" s="396">
        <f>'P4 Plán - investice'!C29</f>
        <v>0</v>
      </c>
      <c r="D29" s="13"/>
    </row>
    <row r="30" spans="1:4" s="3" customFormat="1" ht="15" customHeight="1" x14ac:dyDescent="0.25">
      <c r="A30" s="271" t="s">
        <v>320</v>
      </c>
      <c r="B30" s="272" t="s">
        <v>166</v>
      </c>
      <c r="C30" s="445">
        <f>'P5 Plán - odpisy'!G14-'P5 Plán - odpisy'!H14</f>
        <v>138646.91999999998</v>
      </c>
      <c r="D30" s="13"/>
    </row>
    <row r="31" spans="1:4" s="3" customFormat="1" ht="15" customHeight="1" x14ac:dyDescent="0.25">
      <c r="A31" s="271" t="s">
        <v>321</v>
      </c>
      <c r="B31" s="272" t="s">
        <v>167</v>
      </c>
      <c r="C31" s="444">
        <v>0</v>
      </c>
      <c r="D31" s="13"/>
    </row>
    <row r="32" spans="1:4" s="3" customFormat="1" ht="15" customHeight="1" x14ac:dyDescent="0.25">
      <c r="A32" s="271" t="s">
        <v>322</v>
      </c>
      <c r="B32" s="272" t="s">
        <v>168</v>
      </c>
      <c r="C32" s="444">
        <v>0</v>
      </c>
      <c r="D32" s="13"/>
    </row>
    <row r="33" spans="1:4" s="3" customFormat="1" ht="15" customHeight="1" x14ac:dyDescent="0.2">
      <c r="A33" s="271" t="s">
        <v>323</v>
      </c>
      <c r="B33" s="273" t="s">
        <v>155</v>
      </c>
      <c r="C33" s="394">
        <f>SUM(C28:C32)</f>
        <v>338646.92</v>
      </c>
      <c r="D33" s="58"/>
    </row>
    <row r="34" spans="1:4" s="3" customFormat="1" ht="15" customHeight="1" thickBot="1" x14ac:dyDescent="0.25">
      <c r="A34" s="274" t="s">
        <v>324</v>
      </c>
      <c r="B34" s="275" t="s">
        <v>156</v>
      </c>
      <c r="C34" s="395">
        <f>C19+C27-C33</f>
        <v>1337401.25</v>
      </c>
      <c r="D34" s="58"/>
    </row>
    <row r="35" spans="1:4" s="3" customFormat="1" ht="15" customHeight="1" thickBot="1" x14ac:dyDescent="0.3">
      <c r="A35" s="276"/>
      <c r="B35" s="277"/>
      <c r="C35" s="278"/>
      <c r="D35" s="13"/>
    </row>
    <row r="36" spans="1:4" s="6" customFormat="1" ht="15" customHeight="1" thickBot="1" x14ac:dyDescent="0.3">
      <c r="A36" s="266" t="s">
        <v>395</v>
      </c>
      <c r="B36" s="267" t="s">
        <v>78</v>
      </c>
      <c r="C36" s="268" t="s">
        <v>171</v>
      </c>
      <c r="D36" s="13"/>
    </row>
    <row r="37" spans="1:4" s="3" customFormat="1" ht="15" customHeight="1" x14ac:dyDescent="0.2">
      <c r="A37" s="269" t="s">
        <v>325</v>
      </c>
      <c r="B37" s="270" t="s">
        <v>148</v>
      </c>
      <c r="C37" s="178">
        <v>145686</v>
      </c>
      <c r="D37" s="58"/>
    </row>
    <row r="38" spans="1:4" s="3" customFormat="1" ht="15" customHeight="1" x14ac:dyDescent="0.25">
      <c r="A38" s="271" t="s">
        <v>326</v>
      </c>
      <c r="B38" s="272" t="s">
        <v>149</v>
      </c>
      <c r="C38" s="179">
        <v>0</v>
      </c>
      <c r="D38" s="13"/>
    </row>
    <row r="39" spans="1:4" s="3" customFormat="1" ht="15" customHeight="1" x14ac:dyDescent="0.2">
      <c r="A39" s="271" t="s">
        <v>327</v>
      </c>
      <c r="B39" s="273" t="s">
        <v>150</v>
      </c>
      <c r="C39" s="394">
        <f>C38</f>
        <v>0</v>
      </c>
      <c r="D39" s="58"/>
    </row>
    <row r="40" spans="1:4" s="3" customFormat="1" ht="15" customHeight="1" x14ac:dyDescent="0.25">
      <c r="A40" s="271" t="s">
        <v>328</v>
      </c>
      <c r="B40" s="272" t="s">
        <v>169</v>
      </c>
      <c r="C40" s="179">
        <v>0</v>
      </c>
      <c r="D40" s="13"/>
    </row>
    <row r="41" spans="1:4" s="3" customFormat="1" ht="15" customHeight="1" x14ac:dyDescent="0.25">
      <c r="A41" s="271" t="s">
        <v>329</v>
      </c>
      <c r="B41" s="272" t="s">
        <v>170</v>
      </c>
      <c r="C41" s="179">
        <v>0</v>
      </c>
      <c r="D41" s="13"/>
    </row>
    <row r="42" spans="1:4" s="3" customFormat="1" ht="15" customHeight="1" x14ac:dyDescent="0.2">
      <c r="A42" s="271" t="s">
        <v>330</v>
      </c>
      <c r="B42" s="273" t="s">
        <v>155</v>
      </c>
      <c r="C42" s="394">
        <f>SUM(C40:C41)</f>
        <v>0</v>
      </c>
      <c r="D42" s="58"/>
    </row>
    <row r="43" spans="1:4" s="3" customFormat="1" ht="15" customHeight="1" thickBot="1" x14ac:dyDescent="0.25">
      <c r="A43" s="274" t="s">
        <v>331</v>
      </c>
      <c r="B43" s="275" t="s">
        <v>156</v>
      </c>
      <c r="C43" s="395">
        <f>C37+C39-C42</f>
        <v>145686</v>
      </c>
      <c r="D43" s="58"/>
    </row>
    <row r="44" spans="1:4" s="3" customFormat="1" ht="15" x14ac:dyDescent="0.25">
      <c r="A44" s="59"/>
      <c r="B44" s="60"/>
      <c r="C44" s="61"/>
      <c r="D44" s="13"/>
    </row>
    <row r="45" spans="1:4" s="3" customFormat="1" x14ac:dyDescent="0.2">
      <c r="A45" s="2"/>
    </row>
    <row r="46" spans="1:4" s="3" customFormat="1" x14ac:dyDescent="0.2">
      <c r="A46" s="2"/>
    </row>
    <row r="47" spans="1:4" s="3" customFormat="1" x14ac:dyDescent="0.2">
      <c r="A47" s="2"/>
    </row>
    <row r="48" spans="1:4" s="3" customFormat="1" ht="14.25" customHeight="1" x14ac:dyDescent="0.2">
      <c r="A48" s="2"/>
    </row>
    <row r="49" spans="2:7" s="3" customFormat="1" x14ac:dyDescent="0.2"/>
    <row r="50" spans="2:7" s="3" customFormat="1" x14ac:dyDescent="0.2"/>
    <row r="51" spans="2:7" s="3" customFormat="1" x14ac:dyDescent="0.2"/>
    <row r="52" spans="2:7" s="3" customFormat="1" x14ac:dyDescent="0.2"/>
    <row r="53" spans="2:7" s="3" customFormat="1" x14ac:dyDescent="0.2"/>
    <row r="54" spans="2:7" s="3" customFormat="1" x14ac:dyDescent="0.2">
      <c r="B54" s="2"/>
      <c r="C54" s="4"/>
      <c r="D54" s="2"/>
      <c r="E54" s="2"/>
      <c r="F54" s="4"/>
      <c r="G54" s="2"/>
    </row>
    <row r="55" spans="2:7" s="3" customFormat="1" x14ac:dyDescent="0.2">
      <c r="B55" s="2"/>
      <c r="C55" s="4"/>
      <c r="D55" s="2"/>
      <c r="E55" s="2"/>
      <c r="F55" s="4"/>
      <c r="G55" s="2"/>
    </row>
    <row r="56" spans="2:7" s="3" customFormat="1" x14ac:dyDescent="0.2">
      <c r="B56" s="2"/>
      <c r="C56" s="5"/>
      <c r="F56" s="4"/>
      <c r="G56" s="2"/>
    </row>
    <row r="57" spans="2:7" s="3" customFormat="1" x14ac:dyDescent="0.2">
      <c r="B57" s="2"/>
      <c r="C57" s="4"/>
      <c r="D57" s="2"/>
      <c r="E57" s="2"/>
      <c r="F57" s="4"/>
      <c r="G57" s="2"/>
    </row>
    <row r="58" spans="2:7" s="3" customFormat="1" x14ac:dyDescent="0.2">
      <c r="B58" s="2"/>
      <c r="C58" s="4"/>
      <c r="D58" s="2"/>
      <c r="E58" s="2"/>
      <c r="F58" s="4"/>
      <c r="G58" s="2"/>
    </row>
  </sheetData>
  <sheetProtection algorithmName="SHA-512" hashValue="q40OmTpJaBHQuyQplfy1+qlNkJZ+mRiLLijVJ6dmCeTtngn9p8m6nV6Xua3sjXUcfVINXudmzScJQy6wwP6zmA==" saltValue="OgF7HwzPE8fnNoZDHGNG+g==" spinCount="100000" sheet="1" selectLockedCells="1"/>
  <mergeCells count="3">
    <mergeCell ref="A1:C1"/>
    <mergeCell ref="A2:C2"/>
    <mergeCell ref="A3:C3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&amp;R&amp;"Arial CE,Tučné"P2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7"/>
  <sheetViews>
    <sheetView showGridLines="0" zoomScaleNormal="100" zoomScaleSheetLayoutView="100" workbookViewId="0">
      <selection activeCell="A28" sqref="A28"/>
    </sheetView>
  </sheetViews>
  <sheetFormatPr defaultRowHeight="12.75" x14ac:dyDescent="0.2"/>
  <cols>
    <col min="1" max="1" width="5.7109375" customWidth="1"/>
    <col min="2" max="2" width="66.42578125" customWidth="1"/>
    <col min="3" max="3" width="16.42578125" customWidth="1"/>
    <col min="4" max="4" width="44.7109375" customWidth="1"/>
    <col min="5" max="5" width="11.7109375" style="9" bestFit="1" customWidth="1"/>
    <col min="7" max="7" width="46.140625" customWidth="1"/>
    <col min="8" max="8" width="10.7109375" customWidth="1"/>
    <col min="10" max="10" width="10.140625" bestFit="1" customWidth="1"/>
  </cols>
  <sheetData>
    <row r="1" spans="1:5" s="8" customFormat="1" ht="16.5" customHeight="1" x14ac:dyDescent="0.3">
      <c r="A1" s="494" t="s">
        <v>424</v>
      </c>
      <c r="B1" s="494"/>
      <c r="C1" s="494"/>
    </row>
    <row r="2" spans="1:5" s="8" customFormat="1" ht="16.5" customHeight="1" x14ac:dyDescent="0.3">
      <c r="A2" s="495" t="str">
        <f>Úvod!B7</f>
        <v>Domov Raspenava, příspěvková organizace</v>
      </c>
      <c r="B2" s="495"/>
      <c r="C2" s="495"/>
    </row>
    <row r="3" spans="1:5" ht="16.5" customHeight="1" thickBot="1" x14ac:dyDescent="0.25">
      <c r="A3" s="280"/>
      <c r="B3" s="281"/>
      <c r="C3" s="282"/>
      <c r="E3"/>
    </row>
    <row r="4" spans="1:5" ht="17.25" customHeight="1" thickBot="1" x14ac:dyDescent="0.3">
      <c r="A4" s="283" t="s">
        <v>395</v>
      </c>
      <c r="B4" s="284" t="s">
        <v>172</v>
      </c>
      <c r="C4" s="285" t="s">
        <v>296</v>
      </c>
      <c r="E4"/>
    </row>
    <row r="5" spans="1:5" ht="14.25" x14ac:dyDescent="0.2">
      <c r="A5" s="286" t="s">
        <v>297</v>
      </c>
      <c r="B5" s="287" t="s">
        <v>83</v>
      </c>
      <c r="C5" s="446">
        <f>'P1 N a V'!G89-'P3 Doplň. ukazatele'!C6</f>
        <v>15684007.08</v>
      </c>
      <c r="E5"/>
    </row>
    <row r="6" spans="1:5" ht="14.25" x14ac:dyDescent="0.2">
      <c r="A6" s="288" t="s">
        <v>298</v>
      </c>
      <c r="B6" s="289" t="s">
        <v>82</v>
      </c>
      <c r="C6" s="397">
        <f>'P5 Plán - odpisy'!I33</f>
        <v>299122.92</v>
      </c>
      <c r="E6"/>
    </row>
    <row r="7" spans="1:5" ht="15" x14ac:dyDescent="0.25">
      <c r="A7" s="288" t="s">
        <v>299</v>
      </c>
      <c r="B7" s="214" t="s">
        <v>76</v>
      </c>
      <c r="C7" s="398">
        <f>'P4 Plán - investice'!E29</f>
        <v>0</v>
      </c>
      <c r="E7"/>
    </row>
    <row r="8" spans="1:5" ht="15" x14ac:dyDescent="0.25">
      <c r="A8" s="288" t="s">
        <v>300</v>
      </c>
      <c r="B8" s="214" t="s">
        <v>84</v>
      </c>
      <c r="C8" s="398">
        <f>'P3a Doplň. ukazatele (mzdy)'!D19</f>
        <v>31620000</v>
      </c>
      <c r="E8"/>
    </row>
    <row r="9" spans="1:5" ht="15" x14ac:dyDescent="0.25">
      <c r="A9" s="288" t="s">
        <v>301</v>
      </c>
      <c r="B9" s="214" t="s">
        <v>85</v>
      </c>
      <c r="C9" s="398">
        <f>'P2 Bilance fondů'!C15</f>
        <v>100000</v>
      </c>
      <c r="E9"/>
    </row>
    <row r="10" spans="1:5" ht="15" x14ac:dyDescent="0.25">
      <c r="A10" s="288" t="s">
        <v>302</v>
      </c>
      <c r="B10" s="214" t="s">
        <v>173</v>
      </c>
      <c r="C10" s="398">
        <f>'P4 Plán - investice'!D10</f>
        <v>200000</v>
      </c>
      <c r="E10"/>
    </row>
    <row r="11" spans="1:5" ht="15" x14ac:dyDescent="0.25">
      <c r="A11" s="288" t="s">
        <v>303</v>
      </c>
      <c r="B11" s="214" t="s">
        <v>86</v>
      </c>
      <c r="C11" s="398">
        <f>'P2 Bilance fondů'!C42</f>
        <v>0</v>
      </c>
      <c r="E11"/>
    </row>
    <row r="12" spans="1:5" ht="15" x14ac:dyDescent="0.25">
      <c r="A12" s="288" t="s">
        <v>304</v>
      </c>
      <c r="B12" s="214" t="s">
        <v>87</v>
      </c>
      <c r="C12" s="398">
        <v>10000</v>
      </c>
      <c r="E12"/>
    </row>
    <row r="13" spans="1:5" ht="15" x14ac:dyDescent="0.25">
      <c r="A13" s="288" t="s">
        <v>305</v>
      </c>
      <c r="B13" s="214" t="s">
        <v>174</v>
      </c>
      <c r="C13" s="398">
        <f>'P3a Doplň. ukazatele (mzdy)'!D6</f>
        <v>58.75</v>
      </c>
      <c r="E13"/>
    </row>
    <row r="14" spans="1:5" ht="15.75" thickBot="1" x14ac:dyDescent="0.3">
      <c r="A14" s="291" t="s">
        <v>306</v>
      </c>
      <c r="B14" s="292" t="s">
        <v>107</v>
      </c>
      <c r="C14" s="399">
        <v>0</v>
      </c>
      <c r="E14"/>
    </row>
    <row r="15" spans="1:5" x14ac:dyDescent="0.2">
      <c r="A15" s="293"/>
      <c r="B15" s="294"/>
      <c r="C15" s="295"/>
      <c r="E15"/>
    </row>
    <row r="16" spans="1:5" ht="15.75" thickBot="1" x14ac:dyDescent="0.3">
      <c r="A16" s="276"/>
      <c r="B16" s="220"/>
      <c r="C16" s="296"/>
      <c r="E16"/>
    </row>
    <row r="17" spans="1:5" ht="17.25" customHeight="1" thickBot="1" x14ac:dyDescent="0.3">
      <c r="A17" s="283" t="s">
        <v>395</v>
      </c>
      <c r="B17" s="284" t="s">
        <v>175</v>
      </c>
      <c r="C17" s="285" t="s">
        <v>296</v>
      </c>
      <c r="E17"/>
    </row>
    <row r="18" spans="1:5" ht="15" x14ac:dyDescent="0.25">
      <c r="A18" s="286" t="s">
        <v>307</v>
      </c>
      <c r="B18" s="297" t="s">
        <v>419</v>
      </c>
      <c r="C18" s="400">
        <f>'P1 N a V'!G5</f>
        <v>50716893</v>
      </c>
      <c r="E18"/>
    </row>
    <row r="19" spans="1:5" ht="15" x14ac:dyDescent="0.25">
      <c r="A19" s="288" t="s">
        <v>308</v>
      </c>
      <c r="B19" s="214" t="s">
        <v>420</v>
      </c>
      <c r="C19" s="398">
        <f>'P1 N a V'!G56</f>
        <v>9128000</v>
      </c>
      <c r="E19"/>
    </row>
    <row r="20" spans="1:5" ht="15" x14ac:dyDescent="0.25">
      <c r="A20" s="288" t="s">
        <v>309</v>
      </c>
      <c r="B20" s="214" t="s">
        <v>88</v>
      </c>
      <c r="C20" s="398">
        <f>'P1 N a V'!G89+'P1 N a V'!G90</f>
        <v>15983130</v>
      </c>
      <c r="E20"/>
    </row>
    <row r="21" spans="1:5" ht="15" x14ac:dyDescent="0.25">
      <c r="A21" s="288" t="s">
        <v>310</v>
      </c>
      <c r="B21" s="214" t="s">
        <v>89</v>
      </c>
      <c r="C21" s="290">
        <f>'P1 N a V'!G88</f>
        <v>18096000</v>
      </c>
      <c r="E21"/>
    </row>
    <row r="22" spans="1:5" ht="15" x14ac:dyDescent="0.25">
      <c r="A22" s="288" t="s">
        <v>311</v>
      </c>
      <c r="B22" s="298" t="s">
        <v>176</v>
      </c>
      <c r="C22" s="398">
        <f>'P1 N a V'!G78</f>
        <v>0</v>
      </c>
      <c r="E22"/>
    </row>
    <row r="23" spans="1:5" ht="15.75" thickBot="1" x14ac:dyDescent="0.3">
      <c r="A23" s="291" t="s">
        <v>312</v>
      </c>
      <c r="B23" s="292" t="s">
        <v>421</v>
      </c>
      <c r="C23" s="399">
        <f>'P1 N a V'!G72+'P1 N a V'!G82</f>
        <v>1866000</v>
      </c>
      <c r="E23"/>
    </row>
    <row r="24" spans="1:5" ht="15.75" thickBot="1" x14ac:dyDescent="0.3">
      <c r="A24" s="276"/>
      <c r="B24" s="220"/>
      <c r="C24" s="296"/>
      <c r="E24"/>
    </row>
    <row r="25" spans="1:5" ht="17.25" customHeight="1" thickBot="1" x14ac:dyDescent="0.3">
      <c r="A25" s="283" t="s">
        <v>395</v>
      </c>
      <c r="B25" s="284" t="s">
        <v>177</v>
      </c>
      <c r="C25" s="285" t="s">
        <v>296</v>
      </c>
      <c r="E25"/>
    </row>
    <row r="26" spans="1:5" ht="15" x14ac:dyDescent="0.25">
      <c r="A26" s="299" t="s">
        <v>313</v>
      </c>
      <c r="B26" s="300" t="s">
        <v>178</v>
      </c>
      <c r="C26" s="160">
        <v>0</v>
      </c>
      <c r="E26"/>
    </row>
    <row r="27" spans="1:5" ht="15" x14ac:dyDescent="0.25">
      <c r="A27" s="288" t="s">
        <v>314</v>
      </c>
      <c r="B27" s="214" t="s">
        <v>179</v>
      </c>
      <c r="C27" s="447">
        <f>'P2 Bilance fondů'!C30</f>
        <v>138646.91999999998</v>
      </c>
      <c r="E27"/>
    </row>
    <row r="28" spans="1:5" ht="15.75" thickBot="1" x14ac:dyDescent="0.3">
      <c r="A28" s="291" t="s">
        <v>315</v>
      </c>
      <c r="B28" s="292" t="s">
        <v>180</v>
      </c>
      <c r="C28" s="67">
        <v>0</v>
      </c>
      <c r="E28"/>
    </row>
    <row r="29" spans="1:5" x14ac:dyDescent="0.2">
      <c r="A29" s="65"/>
      <c r="B29" s="57"/>
      <c r="C29" s="66"/>
      <c r="E29"/>
    </row>
    <row r="30" spans="1:5" x14ac:dyDescent="0.2">
      <c r="A30" s="56"/>
      <c r="B30" s="12"/>
      <c r="C30" s="68"/>
      <c r="E30"/>
    </row>
    <row r="31" spans="1:5" x14ac:dyDescent="0.2">
      <c r="A31" s="56"/>
      <c r="B31" s="12"/>
      <c r="C31" s="68"/>
      <c r="E31"/>
    </row>
    <row r="32" spans="1:5" x14ac:dyDescent="0.2">
      <c r="E32"/>
    </row>
    <row r="33" spans="5:5" x14ac:dyDescent="0.2">
      <c r="E33"/>
    </row>
    <row r="34" spans="5:5" x14ac:dyDescent="0.2">
      <c r="E34"/>
    </row>
    <row r="35" spans="5:5" x14ac:dyDescent="0.2">
      <c r="E35"/>
    </row>
    <row r="36" spans="5:5" x14ac:dyDescent="0.2">
      <c r="E36"/>
    </row>
    <row r="37" spans="5:5" x14ac:dyDescent="0.2">
      <c r="E37"/>
    </row>
  </sheetData>
  <sheetProtection algorithmName="SHA-512" hashValue="0wVgl2ngkDOPJOJhwhlJkHRSHFktdXvgd3MNQ3B4+e/4CwGHsGmFbZpjTkLGy+GqPNAxdWYSk0tkdbciDU/bDg==" saltValue="BHPlsQboILD2VFwPHJe0EA==" spinCount="100000" sheet="1" selectLockedCells="1"/>
  <mergeCells count="2">
    <mergeCell ref="A1:C1"/>
    <mergeCell ref="A2:C2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&amp;R&amp;"Arial CE,Tučné"P3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4"/>
  <sheetViews>
    <sheetView showGridLines="0" zoomScaleNormal="100" workbookViewId="0">
      <selection activeCell="D11" sqref="D11"/>
    </sheetView>
  </sheetViews>
  <sheetFormatPr defaultRowHeight="12.75" x14ac:dyDescent="0.2"/>
  <cols>
    <col min="1" max="1" width="8.7109375" customWidth="1"/>
    <col min="2" max="2" width="51.42578125" customWidth="1"/>
    <col min="3" max="5" width="21" style="10" customWidth="1"/>
    <col min="6" max="7" width="15.7109375" style="10" customWidth="1"/>
  </cols>
  <sheetData>
    <row r="1" spans="1:9" s="1" customFormat="1" ht="16.5" customHeight="1" x14ac:dyDescent="0.3">
      <c r="A1" s="494" t="s">
        <v>425</v>
      </c>
      <c r="B1" s="494"/>
      <c r="C1" s="494"/>
      <c r="D1" s="494"/>
      <c r="E1" s="494"/>
      <c r="F1" s="10"/>
      <c r="G1" s="10"/>
      <c r="H1"/>
    </row>
    <row r="2" spans="1:9" s="1" customFormat="1" ht="16.5" customHeight="1" x14ac:dyDescent="0.3">
      <c r="A2" s="495" t="str">
        <f>Úvod!B7</f>
        <v>Domov Raspenava, příspěvková organizace</v>
      </c>
      <c r="B2" s="495"/>
      <c r="C2" s="495"/>
      <c r="D2" s="495"/>
      <c r="E2" s="495"/>
      <c r="F2" s="10"/>
      <c r="G2" s="10"/>
      <c r="H2"/>
    </row>
    <row r="3" spans="1:9" ht="16.5" customHeight="1" thickBot="1" x14ac:dyDescent="0.25">
      <c r="A3" s="497"/>
      <c r="B3" s="497"/>
      <c r="C3" s="497"/>
      <c r="D3" s="497"/>
      <c r="E3" s="497"/>
    </row>
    <row r="4" spans="1:9" ht="17.25" customHeight="1" thickBot="1" x14ac:dyDescent="0.25">
      <c r="A4" s="301" t="s">
        <v>400</v>
      </c>
      <c r="B4" s="302" t="s">
        <v>181</v>
      </c>
      <c r="C4" s="303" t="s">
        <v>295</v>
      </c>
      <c r="D4" s="303" t="s">
        <v>296</v>
      </c>
      <c r="E4" s="304" t="s">
        <v>412</v>
      </c>
    </row>
    <row r="5" spans="1:9" ht="14.1" customHeight="1" x14ac:dyDescent="0.25">
      <c r="A5" s="305">
        <v>1</v>
      </c>
      <c r="B5" s="297" t="s">
        <v>182</v>
      </c>
      <c r="C5" s="163">
        <v>63</v>
      </c>
      <c r="D5" s="163">
        <v>60</v>
      </c>
      <c r="E5" s="401">
        <f>C5-D5</f>
        <v>3</v>
      </c>
    </row>
    <row r="6" spans="1:9" ht="15" x14ac:dyDescent="0.25">
      <c r="A6" s="306">
        <v>2</v>
      </c>
      <c r="B6" s="307" t="s">
        <v>183</v>
      </c>
      <c r="C6" s="162">
        <v>57</v>
      </c>
      <c r="D6" s="162">
        <v>58.75</v>
      </c>
      <c r="E6" s="402">
        <f t="shared" ref="E6:E21" si="0">C6-D6</f>
        <v>-1.75</v>
      </c>
    </row>
    <row r="7" spans="1:9" ht="15" x14ac:dyDescent="0.25">
      <c r="A7" s="308">
        <v>3</v>
      </c>
      <c r="B7" s="309" t="s">
        <v>184</v>
      </c>
      <c r="C7" s="69">
        <v>16741676</v>
      </c>
      <c r="D7" s="165">
        <v>18400000</v>
      </c>
      <c r="E7" s="401">
        <f t="shared" si="0"/>
        <v>-1658324</v>
      </c>
      <c r="I7" s="7"/>
    </row>
    <row r="8" spans="1:9" ht="15" x14ac:dyDescent="0.25">
      <c r="A8" s="310">
        <v>4</v>
      </c>
      <c r="B8" s="311" t="s">
        <v>121</v>
      </c>
      <c r="C8" s="37">
        <v>3622423</v>
      </c>
      <c r="D8" s="37">
        <v>3980000</v>
      </c>
      <c r="E8" s="401">
        <f t="shared" si="0"/>
        <v>-357577</v>
      </c>
    </row>
    <row r="9" spans="1:9" ht="15" x14ac:dyDescent="0.25">
      <c r="A9" s="310">
        <v>5</v>
      </c>
      <c r="B9" s="214" t="s">
        <v>428</v>
      </c>
      <c r="C9" s="37">
        <v>1699963</v>
      </c>
      <c r="D9" s="37">
        <v>1000000</v>
      </c>
      <c r="E9" s="401">
        <f t="shared" si="0"/>
        <v>699963</v>
      </c>
    </row>
    <row r="10" spans="1:9" ht="15" x14ac:dyDescent="0.25">
      <c r="A10" s="310">
        <v>6</v>
      </c>
      <c r="B10" s="214" t="s">
        <v>434</v>
      </c>
      <c r="C10" s="403">
        <f>SUM(C11:C16)</f>
        <v>7121563</v>
      </c>
      <c r="D10" s="403">
        <f>SUM(D11:D16)</f>
        <v>7440000</v>
      </c>
      <c r="E10" s="401">
        <f t="shared" si="0"/>
        <v>-318437</v>
      </c>
    </row>
    <row r="11" spans="1:9" ht="15" x14ac:dyDescent="0.25">
      <c r="A11" s="310">
        <v>7</v>
      </c>
      <c r="B11" s="214" t="s">
        <v>435</v>
      </c>
      <c r="C11" s="164">
        <v>329300</v>
      </c>
      <c r="D11" s="164">
        <v>330000</v>
      </c>
      <c r="E11" s="401">
        <f t="shared" si="0"/>
        <v>-700</v>
      </c>
    </row>
    <row r="12" spans="1:9" ht="15" x14ac:dyDescent="0.25">
      <c r="A12" s="310"/>
      <c r="B12" s="214" t="s">
        <v>436</v>
      </c>
      <c r="C12" s="164">
        <v>2379760</v>
      </c>
      <c r="D12" s="164">
        <v>2380000</v>
      </c>
      <c r="E12" s="401">
        <f t="shared" si="0"/>
        <v>-240</v>
      </c>
    </row>
    <row r="13" spans="1:9" ht="15" x14ac:dyDescent="0.25">
      <c r="A13" s="310"/>
      <c r="B13" s="214" t="s">
        <v>437</v>
      </c>
      <c r="C13" s="164">
        <f>1890277+89836</f>
        <v>1980113</v>
      </c>
      <c r="D13" s="164">
        <v>2040000</v>
      </c>
      <c r="E13" s="401">
        <f t="shared" si="0"/>
        <v>-59887</v>
      </c>
      <c r="G13" s="10" t="s">
        <v>200</v>
      </c>
    </row>
    <row r="14" spans="1:9" ht="15" x14ac:dyDescent="0.25">
      <c r="A14" s="310"/>
      <c r="B14" s="214" t="s">
        <v>438</v>
      </c>
      <c r="C14" s="164">
        <v>862506</v>
      </c>
      <c r="D14" s="164">
        <v>920000</v>
      </c>
      <c r="E14" s="401">
        <f t="shared" si="0"/>
        <v>-57494</v>
      </c>
    </row>
    <row r="15" spans="1:9" ht="15" x14ac:dyDescent="0.25">
      <c r="A15" s="310"/>
      <c r="B15" s="214" t="s">
        <v>439</v>
      </c>
      <c r="C15" s="164">
        <v>1123908</v>
      </c>
      <c r="D15" s="164">
        <v>1170000</v>
      </c>
      <c r="E15" s="401">
        <f t="shared" si="0"/>
        <v>-46092</v>
      </c>
    </row>
    <row r="16" spans="1:9" ht="15" x14ac:dyDescent="0.25">
      <c r="A16" s="310"/>
      <c r="B16" s="214" t="s">
        <v>440</v>
      </c>
      <c r="C16" s="164">
        <v>445976</v>
      </c>
      <c r="D16" s="164">
        <v>600000</v>
      </c>
      <c r="E16" s="401">
        <f t="shared" si="0"/>
        <v>-154024</v>
      </c>
    </row>
    <row r="17" spans="1:5" ht="15" x14ac:dyDescent="0.25">
      <c r="A17" s="310">
        <v>8</v>
      </c>
      <c r="B17" s="214" t="s">
        <v>185</v>
      </c>
      <c r="C17" s="164">
        <v>882523</v>
      </c>
      <c r="D17" s="164">
        <v>800000</v>
      </c>
      <c r="E17" s="401">
        <f t="shared" si="0"/>
        <v>82523</v>
      </c>
    </row>
    <row r="18" spans="1:5" ht="15" x14ac:dyDescent="0.25">
      <c r="A18" s="308">
        <v>9</v>
      </c>
      <c r="B18" s="309" t="s">
        <v>122</v>
      </c>
      <c r="C18" s="404">
        <f>SUM(C7:C10)+C17</f>
        <v>30068148</v>
      </c>
      <c r="D18" s="404">
        <f>SUM(D7:D10)+D17</f>
        <v>31620000</v>
      </c>
      <c r="E18" s="401">
        <f t="shared" si="0"/>
        <v>-1551852</v>
      </c>
    </row>
    <row r="19" spans="1:5" ht="15" x14ac:dyDescent="0.25">
      <c r="A19" s="312">
        <v>10</v>
      </c>
      <c r="B19" s="313" t="s">
        <v>186</v>
      </c>
      <c r="C19" s="405">
        <f>C18-C20</f>
        <v>30068148</v>
      </c>
      <c r="D19" s="405">
        <f>D18-D20</f>
        <v>31620000</v>
      </c>
      <c r="E19" s="406">
        <f t="shared" si="0"/>
        <v>-1551852</v>
      </c>
    </row>
    <row r="20" spans="1:5" ht="15" x14ac:dyDescent="0.25">
      <c r="A20" s="314">
        <v>11</v>
      </c>
      <c r="B20" s="315" t="s">
        <v>187</v>
      </c>
      <c r="C20" s="70"/>
      <c r="D20" s="70"/>
      <c r="E20" s="407">
        <f t="shared" si="0"/>
        <v>0</v>
      </c>
    </row>
    <row r="21" spans="1:5" ht="15.75" thickBot="1" x14ac:dyDescent="0.3">
      <c r="A21" s="316">
        <v>12</v>
      </c>
      <c r="B21" s="292" t="s">
        <v>188</v>
      </c>
      <c r="C21" s="436">
        <f>(C18-C17)/C6/12</f>
        <v>42669.042397660822</v>
      </c>
      <c r="D21" s="436">
        <f>(D18-D17)/D6/12</f>
        <v>43716.312056737595</v>
      </c>
      <c r="E21" s="437">
        <f t="shared" si="0"/>
        <v>-1047.2696590767737</v>
      </c>
    </row>
    <row r="22" spans="1:5" ht="15" x14ac:dyDescent="0.25">
      <c r="A22" s="17"/>
      <c r="B22" s="58"/>
      <c r="C22" s="53"/>
      <c r="D22" s="53"/>
      <c r="E22" s="53"/>
    </row>
    <row r="23" spans="1:5" ht="15" x14ac:dyDescent="0.25">
      <c r="A23" s="17"/>
      <c r="B23" s="13"/>
      <c r="C23" s="13"/>
      <c r="D23" s="13"/>
      <c r="E23" s="13"/>
    </row>
    <row r="24" spans="1:5" ht="15" x14ac:dyDescent="0.25">
      <c r="A24" s="17"/>
      <c r="B24" s="13"/>
      <c r="C24" s="13"/>
      <c r="D24" s="13"/>
      <c r="E24" s="13"/>
    </row>
  </sheetData>
  <sheetProtection algorithmName="SHA-512" hashValue="OvLoa3gsNQi5ohhQs0sp0sCZESEFut++m6vaD0vPXLzU+s3jPAtXG9efD48dSpEOEC5Gu76U9OAkzSKbF2fyng==" saltValue="HAgZ5I5X/5D3c7OmmW/xDw==" spinCount="100000" sheet="1" selectLockedCells="1"/>
  <mergeCells count="3">
    <mergeCell ref="A2:E2"/>
    <mergeCell ref="A1:E1"/>
    <mergeCell ref="A3:E3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portrait" horizontalDpi="300" verticalDpi="300" r:id="rId1"/>
  <headerFooter alignWithMargins="0">
    <oddHeader>&amp;R&amp;"Arial CE,Tučné"P3a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44"/>
  <sheetViews>
    <sheetView workbookViewId="0"/>
  </sheetViews>
  <sheetFormatPr defaultRowHeight="15" x14ac:dyDescent="0.25"/>
  <cols>
    <col min="1" max="1" width="6" customWidth="1"/>
    <col min="2" max="2" width="5.42578125" customWidth="1"/>
    <col min="3" max="3" width="5.85546875" customWidth="1"/>
    <col min="5" max="5" width="10.140625" style="100" bestFit="1" customWidth="1"/>
    <col min="6" max="6" width="26.28515625" customWidth="1"/>
    <col min="9" max="9" width="21.42578125" customWidth="1"/>
    <col min="16" max="16" width="11.85546875" bestFit="1" customWidth="1"/>
    <col min="18" max="25" width="10.42578125" customWidth="1"/>
    <col min="32" max="32" width="6.7109375" customWidth="1"/>
    <col min="35" max="35" width="23.42578125" style="102" customWidth="1"/>
    <col min="36" max="36" width="2.7109375" style="102" customWidth="1"/>
    <col min="37" max="37" width="6.42578125" customWidth="1"/>
    <col min="38" max="38" width="10.5703125" customWidth="1"/>
    <col min="39" max="39" width="12.42578125" customWidth="1"/>
    <col min="40" max="40" width="10.42578125" customWidth="1"/>
    <col min="41" max="41" width="9.7109375" customWidth="1"/>
    <col min="42" max="42" width="13.42578125" customWidth="1"/>
    <col min="43" max="43" width="12.28515625" customWidth="1"/>
    <col min="44" max="44" width="10.7109375" customWidth="1"/>
  </cols>
  <sheetData>
    <row r="1" spans="1:44" s="87" customFormat="1" ht="15.75" x14ac:dyDescent="0.25">
      <c r="A1" s="84"/>
      <c r="B1" s="84" t="s">
        <v>208</v>
      </c>
      <c r="C1" s="84"/>
      <c r="D1" s="84"/>
      <c r="E1" s="85"/>
      <c r="F1" s="84"/>
      <c r="G1" s="84"/>
      <c r="H1" s="84" t="s">
        <v>200</v>
      </c>
      <c r="I1" s="86" t="s">
        <v>200</v>
      </c>
      <c r="J1" s="84"/>
      <c r="K1" s="84"/>
      <c r="L1" s="84"/>
      <c r="M1" s="84" t="s">
        <v>200</v>
      </c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L1" s="84"/>
      <c r="AM1" s="84"/>
      <c r="AN1" s="84"/>
      <c r="AO1" s="84"/>
      <c r="AP1" s="84"/>
      <c r="AQ1" s="84"/>
    </row>
    <row r="2" spans="1:44" s="87" customFormat="1" ht="12.75" x14ac:dyDescent="0.2">
      <c r="E2" s="88"/>
    </row>
    <row r="3" spans="1:44" s="87" customFormat="1" ht="12.75" x14ac:dyDescent="0.2">
      <c r="A3" s="519" t="s">
        <v>209</v>
      </c>
      <c r="B3" s="519" t="s">
        <v>210</v>
      </c>
      <c r="C3" s="519" t="s">
        <v>211</v>
      </c>
      <c r="D3" s="500" t="s">
        <v>212</v>
      </c>
      <c r="E3" s="521" t="s">
        <v>213</v>
      </c>
      <c r="F3" s="514"/>
      <c r="G3" s="510" t="s">
        <v>214</v>
      </c>
      <c r="H3" s="511"/>
      <c r="I3" s="500" t="s">
        <v>215</v>
      </c>
      <c r="J3" s="500" t="s">
        <v>216</v>
      </c>
      <c r="K3" s="502" t="s">
        <v>217</v>
      </c>
      <c r="L3" s="503"/>
      <c r="M3" s="503"/>
      <c r="N3" s="503"/>
      <c r="O3" s="503"/>
      <c r="P3" s="504"/>
      <c r="Q3" s="505" t="s">
        <v>218</v>
      </c>
      <c r="R3" s="500" t="s">
        <v>219</v>
      </c>
      <c r="S3" s="500" t="s">
        <v>220</v>
      </c>
      <c r="T3" s="508" t="s">
        <v>273</v>
      </c>
      <c r="U3" s="509"/>
      <c r="V3" s="509"/>
      <c r="W3" s="509"/>
      <c r="X3" s="509"/>
      <c r="Y3" s="500" t="s">
        <v>221</v>
      </c>
      <c r="Z3" s="510" t="s">
        <v>222</v>
      </c>
      <c r="AA3" s="511"/>
      <c r="AB3" s="510" t="s">
        <v>223</v>
      </c>
      <c r="AC3" s="511"/>
      <c r="AD3" s="510" t="s">
        <v>224</v>
      </c>
      <c r="AE3" s="511"/>
      <c r="AF3" s="507" t="s">
        <v>275</v>
      </c>
      <c r="AG3" s="500" t="s">
        <v>225</v>
      </c>
      <c r="AH3" s="507" t="s">
        <v>270</v>
      </c>
      <c r="AI3" s="498" t="s">
        <v>226</v>
      </c>
      <c r="AJ3" s="115"/>
      <c r="AK3" s="500" t="s">
        <v>283</v>
      </c>
      <c r="AL3" s="515" t="s">
        <v>284</v>
      </c>
      <c r="AM3" s="516"/>
      <c r="AN3" s="516"/>
      <c r="AO3" s="516"/>
      <c r="AP3" s="516"/>
      <c r="AQ3" s="517"/>
      <c r="AR3" s="500" t="s">
        <v>287</v>
      </c>
    </row>
    <row r="4" spans="1:44" s="87" customFormat="1" ht="39" customHeight="1" x14ac:dyDescent="0.2">
      <c r="A4" s="520"/>
      <c r="B4" s="520"/>
      <c r="C4" s="520"/>
      <c r="D4" s="501"/>
      <c r="E4" s="89" t="s">
        <v>227</v>
      </c>
      <c r="F4" s="90" t="s">
        <v>228</v>
      </c>
      <c r="G4" s="91" t="s">
        <v>229</v>
      </c>
      <c r="H4" s="91" t="s">
        <v>230</v>
      </c>
      <c r="I4" s="501"/>
      <c r="J4" s="501"/>
      <c r="K4" s="92" t="s">
        <v>231</v>
      </c>
      <c r="L4" s="92" t="s">
        <v>232</v>
      </c>
      <c r="M4" s="93" t="s">
        <v>233</v>
      </c>
      <c r="N4" s="93" t="s">
        <v>234</v>
      </c>
      <c r="O4" s="93" t="s">
        <v>235</v>
      </c>
      <c r="P4" s="93" t="s">
        <v>236</v>
      </c>
      <c r="Q4" s="506"/>
      <c r="R4" s="501"/>
      <c r="S4" s="501"/>
      <c r="T4" s="94" t="s">
        <v>271</v>
      </c>
      <c r="U4" s="94" t="s">
        <v>272</v>
      </c>
      <c r="V4" s="94" t="s">
        <v>231</v>
      </c>
      <c r="W4" s="94" t="s">
        <v>232</v>
      </c>
      <c r="X4" s="94" t="s">
        <v>237</v>
      </c>
      <c r="Y4" s="501"/>
      <c r="Z4" s="91" t="s">
        <v>238</v>
      </c>
      <c r="AA4" s="91" t="s">
        <v>239</v>
      </c>
      <c r="AB4" s="91" t="s">
        <v>238</v>
      </c>
      <c r="AC4" s="91" t="s">
        <v>239</v>
      </c>
      <c r="AD4" s="91" t="s">
        <v>238</v>
      </c>
      <c r="AE4" s="91" t="s">
        <v>239</v>
      </c>
      <c r="AF4" s="501"/>
      <c r="AG4" s="501"/>
      <c r="AH4" s="501"/>
      <c r="AI4" s="499"/>
      <c r="AJ4" s="78"/>
      <c r="AK4" s="501"/>
      <c r="AL4" s="94" t="s">
        <v>271</v>
      </c>
      <c r="AM4" s="94" t="s">
        <v>272</v>
      </c>
      <c r="AN4" s="94" t="s">
        <v>231</v>
      </c>
      <c r="AO4" s="94" t="s">
        <v>232</v>
      </c>
      <c r="AP4" s="94" t="s">
        <v>237</v>
      </c>
      <c r="AQ4" s="110" t="s">
        <v>285</v>
      </c>
      <c r="AR4" s="501"/>
    </row>
    <row r="5" spans="1:44" s="87" customFormat="1" ht="12.75" x14ac:dyDescent="0.2">
      <c r="E5" s="88"/>
      <c r="M5" s="87" t="s">
        <v>240</v>
      </c>
      <c r="N5" s="87" t="s">
        <v>200</v>
      </c>
      <c r="O5" s="87" t="s">
        <v>200</v>
      </c>
      <c r="Z5" s="95">
        <v>0.2</v>
      </c>
      <c r="AA5" s="95"/>
      <c r="AB5" s="95">
        <v>0.25</v>
      </c>
      <c r="AC5" s="95"/>
      <c r="AD5" s="95">
        <v>1</v>
      </c>
      <c r="AE5" s="95"/>
      <c r="AF5" s="95"/>
      <c r="AG5" s="95"/>
      <c r="AH5" s="95"/>
    </row>
    <row r="6" spans="1:44" s="87" customFormat="1" ht="12.75" x14ac:dyDescent="0.2">
      <c r="A6" s="96">
        <v>1</v>
      </c>
      <c r="B6" s="107">
        <v>12</v>
      </c>
      <c r="C6" s="107">
        <v>12</v>
      </c>
      <c r="D6" s="107">
        <v>1</v>
      </c>
      <c r="E6" s="108" t="s">
        <v>241</v>
      </c>
      <c r="F6" s="107" t="s">
        <v>242</v>
      </c>
      <c r="G6" s="107" t="s">
        <v>243</v>
      </c>
      <c r="H6" s="107" t="s">
        <v>244</v>
      </c>
      <c r="I6" s="107">
        <v>1</v>
      </c>
      <c r="J6" s="107">
        <v>36470</v>
      </c>
      <c r="K6" s="107">
        <v>10000</v>
      </c>
      <c r="L6" s="107">
        <v>10000</v>
      </c>
      <c r="M6" s="107">
        <v>0</v>
      </c>
      <c r="N6" s="107">
        <v>0</v>
      </c>
      <c r="O6" s="107">
        <v>0</v>
      </c>
      <c r="P6" s="107">
        <v>0</v>
      </c>
      <c r="Q6" s="96">
        <f>SUM(J6:P6)</f>
        <v>56470</v>
      </c>
      <c r="R6" s="107">
        <v>40</v>
      </c>
      <c r="S6" s="107">
        <v>1</v>
      </c>
      <c r="T6" s="96">
        <f>J6*S6</f>
        <v>36470</v>
      </c>
      <c r="U6" s="96">
        <f>SUM(V6:X6)</f>
        <v>20000</v>
      </c>
      <c r="V6" s="96">
        <f>K6*S6</f>
        <v>10000</v>
      </c>
      <c r="W6" s="96">
        <f>L6*S6</f>
        <v>10000</v>
      </c>
      <c r="X6" s="96">
        <f>(M6+N6+O6+P6)*S6</f>
        <v>0</v>
      </c>
      <c r="Y6" s="96">
        <f t="shared" ref="Y6:Y17" si="0">Q6*S6</f>
        <v>56470</v>
      </c>
      <c r="Z6" s="107">
        <v>0</v>
      </c>
      <c r="AA6" s="97">
        <f>Q6/174*Z6*0.2</f>
        <v>0</v>
      </c>
      <c r="AB6" s="107">
        <v>0</v>
      </c>
      <c r="AC6" s="97">
        <f>Q6/174*AB6*0.25</f>
        <v>0</v>
      </c>
      <c r="AD6" s="107">
        <v>0</v>
      </c>
      <c r="AE6" s="97">
        <f>Q6/174*AD6</f>
        <v>0</v>
      </c>
      <c r="AF6" s="111">
        <v>12</v>
      </c>
      <c r="AG6" s="97">
        <f t="shared" ref="AG6:AG17" si="1">Y6*AF6+AA6+AC6+AE6</f>
        <v>677640</v>
      </c>
      <c r="AH6" s="117">
        <f xml:space="preserve"> (AG6+(AG6*0.03))/2088*(200+AR6)</f>
        <v>66855.287356321831</v>
      </c>
      <c r="AI6" s="98"/>
      <c r="AJ6" s="116"/>
      <c r="AK6" s="92">
        <f>S6*AF6/12</f>
        <v>1</v>
      </c>
      <c r="AL6" s="117">
        <f>T6*AF6/2080*(1880-AR6)</f>
        <v>395559.23076923081</v>
      </c>
      <c r="AM6" s="97">
        <f>SUM(AN6:AP6)</f>
        <v>216923.07692307694</v>
      </c>
      <c r="AN6" s="117">
        <f>V6*AF6/2080*(1880-AR6)</f>
        <v>108461.53846153847</v>
      </c>
      <c r="AO6" s="117">
        <f>W6*AF6/2080*(1880-AR6)</f>
        <v>108461.53846153847</v>
      </c>
      <c r="AP6" s="117">
        <f>X6*AF6/2080*(1880-AR6)</f>
        <v>0</v>
      </c>
      <c r="AQ6" s="97">
        <f>AL6+AM6</f>
        <v>612482.30769230775</v>
      </c>
      <c r="AR6" s="118">
        <v>0</v>
      </c>
    </row>
    <row r="7" spans="1:44" s="87" customFormat="1" ht="12.75" x14ac:dyDescent="0.2">
      <c r="A7" s="96">
        <v>2</v>
      </c>
      <c r="B7" s="107">
        <v>10</v>
      </c>
      <c r="C7" s="107">
        <v>12</v>
      </c>
      <c r="D7" s="107">
        <v>2</v>
      </c>
      <c r="E7" s="108" t="s">
        <v>245</v>
      </c>
      <c r="F7" s="107" t="s">
        <v>246</v>
      </c>
      <c r="G7" s="107" t="s">
        <v>247</v>
      </c>
      <c r="H7" s="107" t="s">
        <v>248</v>
      </c>
      <c r="I7" s="107">
        <v>2</v>
      </c>
      <c r="J7" s="107">
        <v>35820</v>
      </c>
      <c r="K7" s="107">
        <v>6000</v>
      </c>
      <c r="L7" s="107">
        <v>4000</v>
      </c>
      <c r="M7" s="107">
        <v>0</v>
      </c>
      <c r="N7" s="107">
        <v>0</v>
      </c>
      <c r="O7" s="107">
        <v>0</v>
      </c>
      <c r="P7" s="107">
        <v>0</v>
      </c>
      <c r="Q7" s="96">
        <f t="shared" ref="Q7:Q14" si="2">SUM(J7:P7)</f>
        <v>45820</v>
      </c>
      <c r="R7" s="107">
        <v>40</v>
      </c>
      <c r="S7" s="107">
        <v>0.5</v>
      </c>
      <c r="T7" s="96">
        <f t="shared" ref="T7:T17" si="3">J7*S7</f>
        <v>17910</v>
      </c>
      <c r="U7" s="96">
        <f t="shared" ref="U7:U17" si="4">SUM(V7:X7)</f>
        <v>5000</v>
      </c>
      <c r="V7" s="96">
        <f t="shared" ref="V7:V17" si="5">K7*S7</f>
        <v>3000</v>
      </c>
      <c r="W7" s="96">
        <f t="shared" ref="W7:W17" si="6">L7*S7</f>
        <v>2000</v>
      </c>
      <c r="X7" s="96">
        <f t="shared" ref="X7:X17" si="7">(M7+N7+O7+P7)*S7</f>
        <v>0</v>
      </c>
      <c r="Y7" s="96">
        <f t="shared" si="0"/>
        <v>22910</v>
      </c>
      <c r="Z7" s="107">
        <v>0</v>
      </c>
      <c r="AA7" s="97">
        <f t="shared" ref="AA7:AA9" si="8">Q7/174*Z7*0.2</f>
        <v>0</v>
      </c>
      <c r="AB7" s="107">
        <v>0</v>
      </c>
      <c r="AC7" s="97">
        <f t="shared" ref="AC7:AC9" si="9">Q7/174*AB7*0.25</f>
        <v>0</v>
      </c>
      <c r="AD7" s="107">
        <v>0</v>
      </c>
      <c r="AE7" s="97">
        <f t="shared" ref="AE7:AE9" si="10">Q7/174*AD7</f>
        <v>0</v>
      </c>
      <c r="AF7" s="111">
        <v>12</v>
      </c>
      <c r="AG7" s="97">
        <f t="shared" si="1"/>
        <v>274920</v>
      </c>
      <c r="AH7" s="117">
        <f t="shared" ref="AH7:AH17" si="11" xml:space="preserve"> (AG7+(AG7*0.03))/2088*(200+AR7)</f>
        <v>27123.333333333328</v>
      </c>
      <c r="AI7" s="98" t="s">
        <v>200</v>
      </c>
      <c r="AJ7" s="116"/>
      <c r="AK7" s="92">
        <f t="shared" ref="AK7:AK17" si="12">S7*AF7/12</f>
        <v>0.5</v>
      </c>
      <c r="AL7" s="117">
        <f>T7*AF7/2080*(1880-AR7)</f>
        <v>194254.6153846154</v>
      </c>
      <c r="AM7" s="97">
        <f t="shared" ref="AM7:AM17" si="13">SUM(AN7:AP7)</f>
        <v>54230.769230769227</v>
      </c>
      <c r="AN7" s="117">
        <f t="shared" ref="AN7:AN9" si="14">V7*AF7/2080*(1880-AR7)</f>
        <v>32538.461538461535</v>
      </c>
      <c r="AO7" s="117">
        <f t="shared" ref="AO7:AO9" si="15">W7*AF7/2080*(1880-AR7)</f>
        <v>21692.307692307691</v>
      </c>
      <c r="AP7" s="117">
        <f t="shared" ref="AP7:AP9" si="16">X7*AF7/2080*(1880-AR7)</f>
        <v>0</v>
      </c>
      <c r="AQ7" s="97">
        <f t="shared" ref="AQ7:AQ17" si="17">AL7+AM7</f>
        <v>248485.38461538462</v>
      </c>
      <c r="AR7" s="118">
        <v>0</v>
      </c>
    </row>
    <row r="8" spans="1:44" s="87" customFormat="1" ht="12.75" x14ac:dyDescent="0.2">
      <c r="A8" s="96">
        <v>3</v>
      </c>
      <c r="B8" s="107">
        <v>9</v>
      </c>
      <c r="C8" s="107">
        <v>6</v>
      </c>
      <c r="D8" s="107">
        <v>2</v>
      </c>
      <c r="E8" s="108" t="s">
        <v>245</v>
      </c>
      <c r="F8" s="107" t="s">
        <v>246</v>
      </c>
      <c r="G8" s="107" t="s">
        <v>249</v>
      </c>
      <c r="H8" s="107" t="s">
        <v>250</v>
      </c>
      <c r="I8" s="107">
        <v>3</v>
      </c>
      <c r="J8" s="107">
        <v>26800</v>
      </c>
      <c r="K8" s="107">
        <v>0</v>
      </c>
      <c r="L8" s="107">
        <v>3000</v>
      </c>
      <c r="M8" s="107">
        <v>0</v>
      </c>
      <c r="N8" s="107">
        <v>0</v>
      </c>
      <c r="O8" s="107">
        <v>0</v>
      </c>
      <c r="P8" s="107">
        <v>1880</v>
      </c>
      <c r="Q8" s="96">
        <f t="shared" si="2"/>
        <v>31680</v>
      </c>
      <c r="R8" s="107">
        <v>40</v>
      </c>
      <c r="S8" s="107">
        <v>0.75</v>
      </c>
      <c r="T8" s="96">
        <f t="shared" si="3"/>
        <v>20100</v>
      </c>
      <c r="U8" s="96">
        <f t="shared" si="4"/>
        <v>3660</v>
      </c>
      <c r="V8" s="96">
        <f t="shared" si="5"/>
        <v>0</v>
      </c>
      <c r="W8" s="96">
        <f t="shared" si="6"/>
        <v>2250</v>
      </c>
      <c r="X8" s="96">
        <f t="shared" si="7"/>
        <v>1410</v>
      </c>
      <c r="Y8" s="96">
        <f t="shared" si="0"/>
        <v>23760</v>
      </c>
      <c r="Z8" s="107">
        <v>0</v>
      </c>
      <c r="AA8" s="97">
        <f t="shared" si="8"/>
        <v>0</v>
      </c>
      <c r="AB8" s="107">
        <v>0</v>
      </c>
      <c r="AC8" s="97">
        <f t="shared" si="9"/>
        <v>0</v>
      </c>
      <c r="AD8" s="107">
        <v>0</v>
      </c>
      <c r="AE8" s="97">
        <f t="shared" si="10"/>
        <v>0</v>
      </c>
      <c r="AF8" s="111">
        <v>12</v>
      </c>
      <c r="AG8" s="97">
        <f t="shared" si="1"/>
        <v>285120</v>
      </c>
      <c r="AH8" s="117">
        <f t="shared" si="11"/>
        <v>28129.65517241379</v>
      </c>
      <c r="AI8" s="98" t="s">
        <v>200</v>
      </c>
      <c r="AJ8" s="116"/>
      <c r="AK8" s="92">
        <f t="shared" si="12"/>
        <v>0.75</v>
      </c>
      <c r="AL8" s="117">
        <f>T8*AF8/2080*(1880-AR8)</f>
        <v>218007.69230769231</v>
      </c>
      <c r="AM8" s="97">
        <f t="shared" si="13"/>
        <v>39696.923076923078</v>
      </c>
      <c r="AN8" s="117">
        <f t="shared" si="14"/>
        <v>0</v>
      </c>
      <c r="AO8" s="117">
        <f t="shared" si="15"/>
        <v>24403.846153846152</v>
      </c>
      <c r="AP8" s="117">
        <f t="shared" si="16"/>
        <v>15293.076923076924</v>
      </c>
      <c r="AQ8" s="97">
        <f t="shared" si="17"/>
        <v>257704.61538461538</v>
      </c>
      <c r="AR8" s="118">
        <v>0</v>
      </c>
    </row>
    <row r="9" spans="1:44" s="87" customFormat="1" ht="12.75" x14ac:dyDescent="0.2">
      <c r="A9" s="96">
        <v>4</v>
      </c>
      <c r="B9" s="107">
        <v>8</v>
      </c>
      <c r="C9" s="107">
        <v>10</v>
      </c>
      <c r="D9" s="107">
        <v>2</v>
      </c>
      <c r="E9" s="108" t="s">
        <v>251</v>
      </c>
      <c r="F9" s="107" t="s">
        <v>252</v>
      </c>
      <c r="G9" s="107" t="s">
        <v>249</v>
      </c>
      <c r="H9" s="107" t="s">
        <v>248</v>
      </c>
      <c r="I9" s="107">
        <v>4</v>
      </c>
      <c r="J9" s="107">
        <v>28620</v>
      </c>
      <c r="K9" s="107">
        <v>3000</v>
      </c>
      <c r="L9" s="107">
        <v>4500</v>
      </c>
      <c r="M9" s="107">
        <v>0</v>
      </c>
      <c r="N9" s="107">
        <v>0</v>
      </c>
      <c r="O9" s="107">
        <v>0</v>
      </c>
      <c r="P9" s="107">
        <v>0</v>
      </c>
      <c r="Q9" s="96">
        <f t="shared" si="2"/>
        <v>36120</v>
      </c>
      <c r="R9" s="107">
        <v>40</v>
      </c>
      <c r="S9" s="107">
        <v>1</v>
      </c>
      <c r="T9" s="96">
        <f t="shared" si="3"/>
        <v>28620</v>
      </c>
      <c r="U9" s="96">
        <f t="shared" si="4"/>
        <v>7500</v>
      </c>
      <c r="V9" s="96">
        <f t="shared" si="5"/>
        <v>3000</v>
      </c>
      <c r="W9" s="96">
        <f t="shared" si="6"/>
        <v>4500</v>
      </c>
      <c r="X9" s="96">
        <f t="shared" si="7"/>
        <v>0</v>
      </c>
      <c r="Y9" s="96">
        <f t="shared" si="0"/>
        <v>36120</v>
      </c>
      <c r="Z9" s="107">
        <v>0</v>
      </c>
      <c r="AA9" s="97">
        <f t="shared" si="8"/>
        <v>0</v>
      </c>
      <c r="AB9" s="107">
        <v>0</v>
      </c>
      <c r="AC9" s="97">
        <f t="shared" si="9"/>
        <v>0</v>
      </c>
      <c r="AD9" s="107">
        <v>0</v>
      </c>
      <c r="AE9" s="97">
        <f t="shared" si="10"/>
        <v>0</v>
      </c>
      <c r="AF9" s="111">
        <v>12</v>
      </c>
      <c r="AG9" s="97">
        <f t="shared" si="1"/>
        <v>433440</v>
      </c>
      <c r="AH9" s="117">
        <f t="shared" si="11"/>
        <v>42762.758620689659</v>
      </c>
      <c r="AI9" s="98" t="s">
        <v>200</v>
      </c>
      <c r="AJ9" s="116"/>
      <c r="AK9" s="92">
        <f t="shared" si="12"/>
        <v>1</v>
      </c>
      <c r="AL9" s="117">
        <f>T9*AF9/2080*(1880-AR9)</f>
        <v>310416.92307692306</v>
      </c>
      <c r="AM9" s="97">
        <f t="shared" si="13"/>
        <v>81346.153846153844</v>
      </c>
      <c r="AN9" s="117">
        <f t="shared" si="14"/>
        <v>32538.461538461535</v>
      </c>
      <c r="AO9" s="117">
        <f t="shared" si="15"/>
        <v>48807.692307692305</v>
      </c>
      <c r="AP9" s="117">
        <f t="shared" si="16"/>
        <v>0</v>
      </c>
      <c r="AQ9" s="97">
        <f t="shared" si="17"/>
        <v>391763.07692307688</v>
      </c>
      <c r="AR9" s="118">
        <v>0</v>
      </c>
    </row>
    <row r="10" spans="1:44" s="87" customFormat="1" ht="12.75" x14ac:dyDescent="0.2">
      <c r="A10" s="96">
        <v>5</v>
      </c>
      <c r="B10" s="107">
        <v>5</v>
      </c>
      <c r="C10" s="107">
        <v>10</v>
      </c>
      <c r="D10" s="107">
        <v>2</v>
      </c>
      <c r="E10" s="108" t="s">
        <v>251</v>
      </c>
      <c r="F10" s="107" t="s">
        <v>253</v>
      </c>
      <c r="G10" s="107" t="s">
        <v>254</v>
      </c>
      <c r="H10" s="107" t="s">
        <v>255</v>
      </c>
      <c r="I10" s="107">
        <v>5</v>
      </c>
      <c r="J10" s="107">
        <v>22780</v>
      </c>
      <c r="K10" s="107">
        <v>0</v>
      </c>
      <c r="L10" s="107">
        <v>2700</v>
      </c>
      <c r="M10" s="107">
        <v>600</v>
      </c>
      <c r="N10" s="107">
        <v>0</v>
      </c>
      <c r="O10" s="107">
        <v>0</v>
      </c>
      <c r="P10" s="107">
        <v>0</v>
      </c>
      <c r="Q10" s="96">
        <f t="shared" si="2"/>
        <v>26080</v>
      </c>
      <c r="R10" s="107">
        <v>38.75</v>
      </c>
      <c r="S10" s="107">
        <v>1</v>
      </c>
      <c r="T10" s="96">
        <f t="shared" si="3"/>
        <v>22780</v>
      </c>
      <c r="U10" s="96">
        <f t="shared" si="4"/>
        <v>3300</v>
      </c>
      <c r="V10" s="96">
        <f t="shared" si="5"/>
        <v>0</v>
      </c>
      <c r="W10" s="96">
        <f t="shared" si="6"/>
        <v>2700</v>
      </c>
      <c r="X10" s="96">
        <f t="shared" si="7"/>
        <v>600</v>
      </c>
      <c r="Y10" s="96">
        <f t="shared" si="0"/>
        <v>26080</v>
      </c>
      <c r="Z10" s="107">
        <v>0</v>
      </c>
      <c r="AA10" s="97">
        <f>Q10/168*Z10*0.2</f>
        <v>0</v>
      </c>
      <c r="AB10" s="107">
        <v>576</v>
      </c>
      <c r="AC10" s="97">
        <f>Q10/168*AB10*0.25</f>
        <v>22354.285714285714</v>
      </c>
      <c r="AD10" s="107">
        <v>60</v>
      </c>
      <c r="AE10" s="97">
        <f>Q10/168*AD10</f>
        <v>9314.2857142857138</v>
      </c>
      <c r="AF10" s="111">
        <v>12</v>
      </c>
      <c r="AG10" s="97">
        <f t="shared" si="1"/>
        <v>344628.57142857148</v>
      </c>
      <c r="AH10" s="117">
        <f t="shared" si="11"/>
        <v>34000.71154898742</v>
      </c>
      <c r="AI10" s="98" t="s">
        <v>200</v>
      </c>
      <c r="AJ10" s="116"/>
      <c r="AK10" s="92">
        <f t="shared" si="12"/>
        <v>1</v>
      </c>
      <c r="AL10" s="117">
        <f>T10*AF10/2015*(1821.75-AR10)</f>
        <v>247143.21588089332</v>
      </c>
      <c r="AM10" s="97">
        <f t="shared" si="13"/>
        <v>35802.13399503722</v>
      </c>
      <c r="AN10" s="117">
        <f>V10*AF10/2015*(1821.75-AR10)</f>
        <v>0</v>
      </c>
      <c r="AO10" s="117">
        <f>W10*AF10/2015*(1821.75-AR10)</f>
        <v>29292.655086848637</v>
      </c>
      <c r="AP10" s="117">
        <f>X10*AF10/2015*(1821.75-AR10)</f>
        <v>6509.4789081885856</v>
      </c>
      <c r="AQ10" s="97">
        <f t="shared" si="17"/>
        <v>282945.34987593052</v>
      </c>
      <c r="AR10" s="118">
        <v>0</v>
      </c>
    </row>
    <row r="11" spans="1:44" s="87" customFormat="1" ht="12.75" x14ac:dyDescent="0.2">
      <c r="A11" s="96">
        <v>6</v>
      </c>
      <c r="B11" s="107">
        <v>5</v>
      </c>
      <c r="C11" s="107">
        <v>12</v>
      </c>
      <c r="D11" s="107">
        <v>2</v>
      </c>
      <c r="E11" s="108" t="s">
        <v>251</v>
      </c>
      <c r="F11" s="107" t="s">
        <v>253</v>
      </c>
      <c r="G11" s="107" t="s">
        <v>254</v>
      </c>
      <c r="H11" s="107" t="s">
        <v>255</v>
      </c>
      <c r="I11" s="107">
        <v>6</v>
      </c>
      <c r="J11" s="107">
        <v>24420</v>
      </c>
      <c r="K11" s="107">
        <v>0</v>
      </c>
      <c r="L11" s="107">
        <v>4500</v>
      </c>
      <c r="M11" s="107">
        <v>600</v>
      </c>
      <c r="N11" s="107">
        <v>0</v>
      </c>
      <c r="O11" s="107">
        <v>0</v>
      </c>
      <c r="P11" s="107">
        <v>0</v>
      </c>
      <c r="Q11" s="96">
        <f t="shared" si="2"/>
        <v>29520</v>
      </c>
      <c r="R11" s="107">
        <v>38.75</v>
      </c>
      <c r="S11" s="107">
        <v>1</v>
      </c>
      <c r="T11" s="96">
        <f t="shared" si="3"/>
        <v>24420</v>
      </c>
      <c r="U11" s="96">
        <f t="shared" si="4"/>
        <v>5100</v>
      </c>
      <c r="V11" s="96">
        <f t="shared" si="5"/>
        <v>0</v>
      </c>
      <c r="W11" s="96">
        <f t="shared" si="6"/>
        <v>4500</v>
      </c>
      <c r="X11" s="96">
        <f t="shared" si="7"/>
        <v>600</v>
      </c>
      <c r="Y11" s="96">
        <f t="shared" si="0"/>
        <v>29520</v>
      </c>
      <c r="Z11" s="107">
        <v>0</v>
      </c>
      <c r="AA11" s="97">
        <f>Q11/168*Z11*0.2</f>
        <v>0</v>
      </c>
      <c r="AB11" s="107">
        <v>576</v>
      </c>
      <c r="AC11" s="97">
        <f>Q11/168*AB11*0.25</f>
        <v>25302.857142857145</v>
      </c>
      <c r="AD11" s="107">
        <v>60</v>
      </c>
      <c r="AE11" s="97">
        <f>Q11/168*AD11</f>
        <v>10542.857142857143</v>
      </c>
      <c r="AF11" s="111">
        <v>12</v>
      </c>
      <c r="AG11" s="97">
        <f t="shared" si="1"/>
        <v>390085.71428571432</v>
      </c>
      <c r="AH11" s="117">
        <f t="shared" si="11"/>
        <v>45942.027401477833</v>
      </c>
      <c r="AI11" s="98" t="s">
        <v>200</v>
      </c>
      <c r="AJ11" s="116"/>
      <c r="AK11" s="92">
        <f t="shared" si="12"/>
        <v>1</v>
      </c>
      <c r="AL11" s="117">
        <f>T11*AF11/2015*(1821.75-AR11)</f>
        <v>259300.40694789079</v>
      </c>
      <c r="AM11" s="97">
        <f t="shared" si="13"/>
        <v>54153.647642679905</v>
      </c>
      <c r="AN11" s="117">
        <f t="shared" ref="AN11:AN12" si="18">V11*AF11/2015*(1821.75-AR11)</f>
        <v>0</v>
      </c>
      <c r="AO11" s="117">
        <f t="shared" ref="AO11:AO12" si="19">W11*AF11/2015*(1821.75-AR11)</f>
        <v>47782.630272952854</v>
      </c>
      <c r="AP11" s="117">
        <f t="shared" ref="AP11:AP12" si="20">X11*AF11/2015*(1821.75-AR11)</f>
        <v>6371.0173697270475</v>
      </c>
      <c r="AQ11" s="97">
        <f t="shared" si="17"/>
        <v>313454.05459057068</v>
      </c>
      <c r="AR11" s="118">
        <v>38.75</v>
      </c>
    </row>
    <row r="12" spans="1:44" s="87" customFormat="1" ht="12.75" x14ac:dyDescent="0.2">
      <c r="A12" s="96">
        <v>7</v>
      </c>
      <c r="B12" s="107">
        <v>5</v>
      </c>
      <c r="C12" s="107">
        <v>12</v>
      </c>
      <c r="D12" s="107">
        <v>2</v>
      </c>
      <c r="E12" s="108" t="s">
        <v>251</v>
      </c>
      <c r="F12" s="107" t="s">
        <v>253</v>
      </c>
      <c r="G12" s="107" t="s">
        <v>254</v>
      </c>
      <c r="H12" s="107" t="s">
        <v>255</v>
      </c>
      <c r="I12" s="107">
        <v>7</v>
      </c>
      <c r="J12" s="107">
        <v>24420</v>
      </c>
      <c r="K12" s="107">
        <v>0</v>
      </c>
      <c r="L12" s="107">
        <v>5600</v>
      </c>
      <c r="M12" s="107">
        <v>600</v>
      </c>
      <c r="N12" s="107">
        <v>0</v>
      </c>
      <c r="O12" s="107">
        <v>0</v>
      </c>
      <c r="P12" s="107">
        <v>0</v>
      </c>
      <c r="Q12" s="96">
        <f t="shared" si="2"/>
        <v>30620</v>
      </c>
      <c r="R12" s="107">
        <v>38.75</v>
      </c>
      <c r="S12" s="107">
        <v>1</v>
      </c>
      <c r="T12" s="96">
        <f t="shared" si="3"/>
        <v>24420</v>
      </c>
      <c r="U12" s="96">
        <f t="shared" si="4"/>
        <v>6200</v>
      </c>
      <c r="V12" s="96">
        <f t="shared" si="5"/>
        <v>0</v>
      </c>
      <c r="W12" s="96">
        <f t="shared" si="6"/>
        <v>5600</v>
      </c>
      <c r="X12" s="96">
        <f t="shared" si="7"/>
        <v>600</v>
      </c>
      <c r="Y12" s="96">
        <f t="shared" si="0"/>
        <v>30620</v>
      </c>
      <c r="Z12" s="107">
        <v>0</v>
      </c>
      <c r="AA12" s="97">
        <f>Q12/168*Z12*0.2</f>
        <v>0</v>
      </c>
      <c r="AB12" s="107">
        <v>576</v>
      </c>
      <c r="AC12" s="97">
        <f>Q12/168*AB12*0.25</f>
        <v>26245.714285714286</v>
      </c>
      <c r="AD12" s="107">
        <v>72</v>
      </c>
      <c r="AE12" s="97">
        <f>Q12/168*AD12</f>
        <v>13122.857142857143</v>
      </c>
      <c r="AF12" s="111">
        <v>12</v>
      </c>
      <c r="AG12" s="97">
        <f t="shared" si="1"/>
        <v>406808.57142857142</v>
      </c>
      <c r="AH12" s="117">
        <f t="shared" si="11"/>
        <v>40135.328407224952</v>
      </c>
      <c r="AI12" s="98" t="s">
        <v>200</v>
      </c>
      <c r="AJ12" s="116"/>
      <c r="AK12" s="92">
        <f t="shared" si="12"/>
        <v>1</v>
      </c>
      <c r="AL12" s="117">
        <f>T12*AF12/2015*(1821.75-AR12)</f>
        <v>264935.79156327544</v>
      </c>
      <c r="AM12" s="97">
        <f t="shared" si="13"/>
        <v>67264.61538461539</v>
      </c>
      <c r="AN12" s="117">
        <f t="shared" si="18"/>
        <v>0</v>
      </c>
      <c r="AO12" s="117">
        <f t="shared" si="19"/>
        <v>60755.1364764268</v>
      </c>
      <c r="AP12" s="117">
        <f t="shared" si="20"/>
        <v>6509.4789081885856</v>
      </c>
      <c r="AQ12" s="97">
        <f t="shared" si="17"/>
        <v>332200.40694789082</v>
      </c>
      <c r="AR12" s="118">
        <v>0</v>
      </c>
    </row>
    <row r="13" spans="1:44" s="87" customFormat="1" ht="12.75" x14ac:dyDescent="0.2">
      <c r="A13" s="96">
        <v>8</v>
      </c>
      <c r="B13" s="107">
        <v>5</v>
      </c>
      <c r="C13" s="107">
        <v>5</v>
      </c>
      <c r="D13" s="107">
        <v>2</v>
      </c>
      <c r="E13" s="108" t="s">
        <v>251</v>
      </c>
      <c r="F13" s="107" t="s">
        <v>253</v>
      </c>
      <c r="G13" s="107" t="s">
        <v>254</v>
      </c>
      <c r="H13" s="107" t="s">
        <v>249</v>
      </c>
      <c r="I13" s="107">
        <v>8</v>
      </c>
      <c r="J13" s="107">
        <v>19150</v>
      </c>
      <c r="K13" s="107">
        <v>0</v>
      </c>
      <c r="L13" s="107">
        <v>2700</v>
      </c>
      <c r="M13" s="107">
        <v>0</v>
      </c>
      <c r="N13" s="107">
        <v>750</v>
      </c>
      <c r="O13" s="107">
        <v>0</v>
      </c>
      <c r="P13" s="107">
        <v>0</v>
      </c>
      <c r="Q13" s="96">
        <f t="shared" si="2"/>
        <v>22600</v>
      </c>
      <c r="R13" s="107">
        <v>37.5</v>
      </c>
      <c r="S13" s="107">
        <v>1</v>
      </c>
      <c r="T13" s="96">
        <f t="shared" si="3"/>
        <v>19150</v>
      </c>
      <c r="U13" s="96">
        <f t="shared" si="4"/>
        <v>3450</v>
      </c>
      <c r="V13" s="96">
        <f t="shared" si="5"/>
        <v>0</v>
      </c>
      <c r="W13" s="96">
        <f t="shared" si="6"/>
        <v>2700</v>
      </c>
      <c r="X13" s="96">
        <f t="shared" si="7"/>
        <v>750</v>
      </c>
      <c r="Y13" s="96">
        <f t="shared" si="0"/>
        <v>22600</v>
      </c>
      <c r="Z13" s="107">
        <v>480</v>
      </c>
      <c r="AA13" s="97">
        <f>Q13/163*Z13*0.2</f>
        <v>13310.429447852759</v>
      </c>
      <c r="AB13" s="107">
        <v>576</v>
      </c>
      <c r="AC13" s="97">
        <f>Q13/163*AB13*0.25</f>
        <v>19965.644171779139</v>
      </c>
      <c r="AD13" s="107">
        <v>60</v>
      </c>
      <c r="AE13" s="97">
        <f>Q13/163*AD13</f>
        <v>8319.0184049079744</v>
      </c>
      <c r="AF13" s="111">
        <v>12</v>
      </c>
      <c r="AG13" s="97">
        <f t="shared" si="1"/>
        <v>312795.09202453989</v>
      </c>
      <c r="AH13" s="117">
        <f t="shared" si="11"/>
        <v>30860.052182497708</v>
      </c>
      <c r="AI13" s="98" t="s">
        <v>200</v>
      </c>
      <c r="AJ13" s="116"/>
      <c r="AK13" s="92">
        <f t="shared" si="12"/>
        <v>1</v>
      </c>
      <c r="AL13" s="117">
        <f>T13*AF13/1950*(1762.5-AR13)</f>
        <v>207703.84615384616</v>
      </c>
      <c r="AM13" s="97">
        <f t="shared" si="13"/>
        <v>37419.230769230773</v>
      </c>
      <c r="AN13" s="117">
        <f>V13*AF13/1950*(1762.5-AR13)</f>
        <v>0</v>
      </c>
      <c r="AO13" s="117">
        <f>W13*AF13/1950*(1762.5-AR13)</f>
        <v>29284.615384615387</v>
      </c>
      <c r="AP13" s="117">
        <f>X13*AF13/1950*(1762.5-AR13)</f>
        <v>8134.6153846153838</v>
      </c>
      <c r="AQ13" s="97">
        <f t="shared" si="17"/>
        <v>245123.07692307694</v>
      </c>
      <c r="AR13" s="118">
        <v>0</v>
      </c>
    </row>
    <row r="14" spans="1:44" s="99" customFormat="1" ht="12.75" x14ac:dyDescent="0.2">
      <c r="A14" s="96">
        <v>9</v>
      </c>
      <c r="B14" s="107">
        <v>5</v>
      </c>
      <c r="C14" s="107">
        <v>7</v>
      </c>
      <c r="D14" s="107">
        <v>2</v>
      </c>
      <c r="E14" s="108" t="s">
        <v>251</v>
      </c>
      <c r="F14" s="107" t="s">
        <v>253</v>
      </c>
      <c r="G14" s="107" t="s">
        <v>254</v>
      </c>
      <c r="H14" s="107" t="s">
        <v>249</v>
      </c>
      <c r="I14" s="107">
        <v>9</v>
      </c>
      <c r="J14" s="107">
        <v>20510</v>
      </c>
      <c r="K14" s="107">
        <v>0</v>
      </c>
      <c r="L14" s="107">
        <v>2000</v>
      </c>
      <c r="M14" s="107">
        <v>0</v>
      </c>
      <c r="N14" s="107">
        <v>750</v>
      </c>
      <c r="O14" s="107">
        <v>0</v>
      </c>
      <c r="P14" s="107">
        <v>0</v>
      </c>
      <c r="Q14" s="96">
        <f t="shared" si="2"/>
        <v>23260</v>
      </c>
      <c r="R14" s="107">
        <v>37.5</v>
      </c>
      <c r="S14" s="107">
        <v>1</v>
      </c>
      <c r="T14" s="96">
        <f t="shared" si="3"/>
        <v>20510</v>
      </c>
      <c r="U14" s="96">
        <f t="shared" si="4"/>
        <v>2750</v>
      </c>
      <c r="V14" s="96">
        <f t="shared" si="5"/>
        <v>0</v>
      </c>
      <c r="W14" s="96">
        <f t="shared" si="6"/>
        <v>2000</v>
      </c>
      <c r="X14" s="96">
        <f t="shared" si="7"/>
        <v>750</v>
      </c>
      <c r="Y14" s="96">
        <f t="shared" si="0"/>
        <v>23260</v>
      </c>
      <c r="Z14" s="107">
        <v>240</v>
      </c>
      <c r="AA14" s="97">
        <f>Q14/163*Z14*0.2</f>
        <v>6849.5705521472382</v>
      </c>
      <c r="AB14" s="107">
        <v>288</v>
      </c>
      <c r="AC14" s="97">
        <f>Q14/163*AB14*0.25</f>
        <v>10274.355828220858</v>
      </c>
      <c r="AD14" s="107">
        <v>28</v>
      </c>
      <c r="AE14" s="97">
        <f>Q14/163*AD14</f>
        <v>3995.5828220858893</v>
      </c>
      <c r="AF14" s="111">
        <v>6</v>
      </c>
      <c r="AG14" s="97">
        <f t="shared" si="1"/>
        <v>160679.50920245398</v>
      </c>
      <c r="AH14" s="117">
        <f t="shared" si="11"/>
        <v>15852.480314035211</v>
      </c>
      <c r="AI14" s="98" t="s">
        <v>288</v>
      </c>
      <c r="AJ14" s="116"/>
      <c r="AK14" s="92">
        <f t="shared" si="12"/>
        <v>0.5</v>
      </c>
      <c r="AL14" s="117">
        <f>T14*AF14/1950*(1762.5-AR14)</f>
        <v>111227.3076923077</v>
      </c>
      <c r="AM14" s="97">
        <f t="shared" si="13"/>
        <v>14913.461538461539</v>
      </c>
      <c r="AN14" s="117">
        <f>V14*AF14/1950*(1762.5-AR14)</f>
        <v>0</v>
      </c>
      <c r="AO14" s="117">
        <f>W14*AF14/1950*(1762.5-AR14)</f>
        <v>10846.153846153848</v>
      </c>
      <c r="AP14" s="117">
        <f>X14*AF14/1950*(1762.5-AR14)</f>
        <v>4067.3076923076919</v>
      </c>
      <c r="AQ14" s="97">
        <f t="shared" si="17"/>
        <v>126140.76923076925</v>
      </c>
      <c r="AR14" s="118">
        <v>0</v>
      </c>
    </row>
    <row r="15" spans="1:44" s="99" customFormat="1" ht="12.75" x14ac:dyDescent="0.2">
      <c r="A15" s="96" t="s">
        <v>278</v>
      </c>
      <c r="B15" s="107">
        <v>5</v>
      </c>
      <c r="C15" s="107">
        <v>8</v>
      </c>
      <c r="D15" s="107" t="s">
        <v>282</v>
      </c>
      <c r="E15" s="108" t="s">
        <v>251</v>
      </c>
      <c r="F15" s="107" t="s">
        <v>253</v>
      </c>
      <c r="G15" s="107" t="s">
        <v>254</v>
      </c>
      <c r="H15" s="107" t="s">
        <v>277</v>
      </c>
      <c r="I15" s="107">
        <v>9</v>
      </c>
      <c r="J15" s="107">
        <v>21250</v>
      </c>
      <c r="K15" s="107">
        <v>0</v>
      </c>
      <c r="L15" s="107">
        <v>2000</v>
      </c>
      <c r="M15" s="107">
        <v>0</v>
      </c>
      <c r="N15" s="107">
        <v>750</v>
      </c>
      <c r="O15" s="107">
        <v>0</v>
      </c>
      <c r="P15" s="107">
        <v>0</v>
      </c>
      <c r="Q15" s="96">
        <f t="shared" ref="Q15:Q17" si="21">SUM(J15:P15)</f>
        <v>24000</v>
      </c>
      <c r="R15" s="107">
        <v>37.5</v>
      </c>
      <c r="S15" s="107">
        <v>1</v>
      </c>
      <c r="T15" s="96">
        <f t="shared" si="3"/>
        <v>21250</v>
      </c>
      <c r="U15" s="96">
        <f t="shared" si="4"/>
        <v>2750</v>
      </c>
      <c r="V15" s="96">
        <f t="shared" si="5"/>
        <v>0</v>
      </c>
      <c r="W15" s="96">
        <f t="shared" si="6"/>
        <v>2000</v>
      </c>
      <c r="X15" s="96">
        <f t="shared" si="7"/>
        <v>750</v>
      </c>
      <c r="Y15" s="96">
        <f t="shared" si="0"/>
        <v>24000</v>
      </c>
      <c r="Z15" s="107">
        <v>240</v>
      </c>
      <c r="AA15" s="97">
        <f>Q15/163*Z15*0.2</f>
        <v>7067.4846625766877</v>
      </c>
      <c r="AB15" s="107">
        <v>288</v>
      </c>
      <c r="AC15" s="97">
        <f>Q15/164*AB15*0.25</f>
        <v>10536.585365853658</v>
      </c>
      <c r="AD15" s="107">
        <v>32</v>
      </c>
      <c r="AE15" s="97">
        <f>Q15/163*AD15</f>
        <v>4711.6564417177915</v>
      </c>
      <c r="AF15" s="111">
        <v>6</v>
      </c>
      <c r="AG15" s="97">
        <f t="shared" si="1"/>
        <v>166315.72647014813</v>
      </c>
      <c r="AH15" s="117">
        <f t="shared" si="11"/>
        <v>19485.145875363978</v>
      </c>
      <c r="AI15" s="98" t="s">
        <v>288</v>
      </c>
      <c r="AJ15" s="116"/>
      <c r="AK15" s="92">
        <f t="shared" si="12"/>
        <v>0.5</v>
      </c>
      <c r="AL15" s="117">
        <f>T15*AF15/1950*(1762.5-AR15)</f>
        <v>112788.46153846155</v>
      </c>
      <c r="AM15" s="97">
        <f t="shared" si="13"/>
        <v>14596.153846153846</v>
      </c>
      <c r="AN15" s="117">
        <f>V15*AF15/1950*(1762.5-AR15)</f>
        <v>0</v>
      </c>
      <c r="AO15" s="117">
        <f>W15*AF15/1950*(1762.5-AR15)</f>
        <v>10615.384615384615</v>
      </c>
      <c r="AP15" s="117">
        <f>X15*AF15/1950*(1762.5-AR15)</f>
        <v>3980.7692307692305</v>
      </c>
      <c r="AQ15" s="97">
        <f t="shared" si="17"/>
        <v>127384.61538461539</v>
      </c>
      <c r="AR15" s="118">
        <v>37.5</v>
      </c>
    </row>
    <row r="16" spans="1:44" s="99" customFormat="1" ht="12.75" x14ac:dyDescent="0.2">
      <c r="A16" s="96">
        <v>10</v>
      </c>
      <c r="B16" s="107">
        <v>5</v>
      </c>
      <c r="C16" s="107">
        <v>5</v>
      </c>
      <c r="D16" s="107" t="s">
        <v>282</v>
      </c>
      <c r="E16" s="108" t="s">
        <v>251</v>
      </c>
      <c r="F16" s="107" t="s">
        <v>253</v>
      </c>
      <c r="G16" s="107" t="s">
        <v>254</v>
      </c>
      <c r="H16" s="107" t="s">
        <v>255</v>
      </c>
      <c r="I16" s="107">
        <v>10</v>
      </c>
      <c r="J16" s="107">
        <v>19150</v>
      </c>
      <c r="K16" s="107">
        <v>0</v>
      </c>
      <c r="L16" s="107">
        <v>0</v>
      </c>
      <c r="M16" s="107">
        <v>0</v>
      </c>
      <c r="N16" s="107">
        <v>750</v>
      </c>
      <c r="O16" s="107">
        <v>0</v>
      </c>
      <c r="P16" s="107">
        <v>0</v>
      </c>
      <c r="Q16" s="96">
        <f t="shared" si="21"/>
        <v>19900</v>
      </c>
      <c r="R16" s="107">
        <v>37.5</v>
      </c>
      <c r="S16" s="107">
        <v>1</v>
      </c>
      <c r="T16" s="96">
        <f t="shared" si="3"/>
        <v>19150</v>
      </c>
      <c r="U16" s="96">
        <f t="shared" si="4"/>
        <v>750</v>
      </c>
      <c r="V16" s="96">
        <f t="shared" si="5"/>
        <v>0</v>
      </c>
      <c r="W16" s="96">
        <f t="shared" si="6"/>
        <v>0</v>
      </c>
      <c r="X16" s="96">
        <f t="shared" si="7"/>
        <v>750</v>
      </c>
      <c r="Y16" s="96">
        <f t="shared" si="0"/>
        <v>19900</v>
      </c>
      <c r="Z16" s="107">
        <v>200</v>
      </c>
      <c r="AA16" s="97">
        <f>Q16/163*Z16*0.2</f>
        <v>4883.435582822086</v>
      </c>
      <c r="AB16" s="107">
        <v>288</v>
      </c>
      <c r="AC16" s="97">
        <f>Q16/163*AB16*0.25</f>
        <v>8790.1840490797549</v>
      </c>
      <c r="AD16" s="107">
        <v>32</v>
      </c>
      <c r="AE16" s="97">
        <f>Q16/163*AD16</f>
        <v>3906.7484662576685</v>
      </c>
      <c r="AF16" s="111">
        <v>6</v>
      </c>
      <c r="AG16" s="97">
        <f>Y16*AF16+AA16+AC16+AE16</f>
        <v>136980.36809815952</v>
      </c>
      <c r="AH16" s="117">
        <f t="shared" si="11"/>
        <v>13514.346661025316</v>
      </c>
      <c r="AI16" s="98" t="s">
        <v>289</v>
      </c>
      <c r="AJ16" s="116"/>
      <c r="AK16" s="92">
        <f t="shared" si="12"/>
        <v>0.5</v>
      </c>
      <c r="AL16" s="117">
        <f>T16*AF16/1950*(1762.5-AR16)</f>
        <v>103851.92307692308</v>
      </c>
      <c r="AM16" s="97">
        <f t="shared" si="13"/>
        <v>4067.3076923076919</v>
      </c>
      <c r="AN16" s="117">
        <f>V16*AF16/1950*(1762.5-AR16)</f>
        <v>0</v>
      </c>
      <c r="AO16" s="117">
        <f>W16*AF16/1950*(1762.5-AR16)</f>
        <v>0</v>
      </c>
      <c r="AP16" s="117">
        <f>X16*AF16/1950*(1762.5-AR16)</f>
        <v>4067.3076923076919</v>
      </c>
      <c r="AQ16" s="97">
        <f t="shared" si="17"/>
        <v>107919.23076923077</v>
      </c>
      <c r="AR16" s="118">
        <v>0</v>
      </c>
    </row>
    <row r="17" spans="1:45" s="99" customFormat="1" ht="12.75" x14ac:dyDescent="0.2">
      <c r="A17" s="96">
        <v>11</v>
      </c>
      <c r="B17" s="107">
        <v>5</v>
      </c>
      <c r="C17" s="107" t="s">
        <v>200</v>
      </c>
      <c r="D17" s="107">
        <v>2</v>
      </c>
      <c r="E17" s="108" t="s">
        <v>251</v>
      </c>
      <c r="F17" s="107" t="s">
        <v>253</v>
      </c>
      <c r="G17" s="107" t="s">
        <v>254</v>
      </c>
      <c r="H17" s="107" t="s">
        <v>200</v>
      </c>
      <c r="I17" s="107" t="s">
        <v>200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96">
        <f t="shared" si="21"/>
        <v>0</v>
      </c>
      <c r="R17" s="107">
        <v>37.5</v>
      </c>
      <c r="S17" s="107">
        <v>1</v>
      </c>
      <c r="T17" s="96">
        <f t="shared" si="3"/>
        <v>0</v>
      </c>
      <c r="U17" s="96">
        <f t="shared" si="4"/>
        <v>0</v>
      </c>
      <c r="V17" s="96">
        <f t="shared" si="5"/>
        <v>0</v>
      </c>
      <c r="W17" s="96">
        <f t="shared" si="6"/>
        <v>0</v>
      </c>
      <c r="X17" s="96">
        <f t="shared" si="7"/>
        <v>0</v>
      </c>
      <c r="Y17" s="96">
        <f t="shared" si="0"/>
        <v>0</v>
      </c>
      <c r="Z17" s="107">
        <v>0</v>
      </c>
      <c r="AA17" s="97">
        <f>Q17/163*Z17*0.2</f>
        <v>0</v>
      </c>
      <c r="AB17" s="107">
        <v>0</v>
      </c>
      <c r="AC17" s="97">
        <f>Q17/163*AB17*0.25</f>
        <v>0</v>
      </c>
      <c r="AD17" s="107">
        <v>0</v>
      </c>
      <c r="AE17" s="97">
        <f>Q17/164*AD17</f>
        <v>0</v>
      </c>
      <c r="AF17" s="111">
        <v>0</v>
      </c>
      <c r="AG17" s="97">
        <f t="shared" si="1"/>
        <v>0</v>
      </c>
      <c r="AH17" s="117">
        <f t="shared" si="11"/>
        <v>0</v>
      </c>
      <c r="AI17" s="98" t="s">
        <v>200</v>
      </c>
      <c r="AJ17" s="116"/>
      <c r="AK17" s="92">
        <f t="shared" si="12"/>
        <v>0</v>
      </c>
      <c r="AL17" s="117">
        <f>T17*AF17/1950*(1762.5-AR17)</f>
        <v>0</v>
      </c>
      <c r="AM17" s="97">
        <f t="shared" si="13"/>
        <v>0</v>
      </c>
      <c r="AN17" s="117">
        <f>V17*AF17/1950*(1762.5-AR17)</f>
        <v>0</v>
      </c>
      <c r="AO17" s="117">
        <f>W17*AF17/1950*(1762.5-AR17)</f>
        <v>0</v>
      </c>
      <c r="AP17" s="117">
        <f>X17*AF17/1950*(1762.5-AR17)</f>
        <v>0</v>
      </c>
      <c r="AQ17" s="97">
        <f t="shared" si="17"/>
        <v>0</v>
      </c>
      <c r="AR17" s="118">
        <v>0</v>
      </c>
    </row>
    <row r="18" spans="1:45" x14ac:dyDescent="0.25">
      <c r="E18" s="100" t="s">
        <v>200</v>
      </c>
      <c r="AA18" s="101"/>
      <c r="AC18" s="101"/>
      <c r="AE18" s="101" t="s">
        <v>200</v>
      </c>
      <c r="AF18" s="101"/>
      <c r="AG18" s="101"/>
      <c r="AH18" s="101"/>
      <c r="AI18" s="102" t="s">
        <v>200</v>
      </c>
      <c r="AN18" t="s">
        <v>200</v>
      </c>
    </row>
    <row r="19" spans="1:45" x14ac:dyDescent="0.25">
      <c r="P19" t="s">
        <v>200</v>
      </c>
      <c r="AA19" s="101"/>
      <c r="AC19" s="101"/>
      <c r="AE19" s="101"/>
      <c r="AF19" s="101"/>
      <c r="AG19" s="101"/>
      <c r="AH19" s="101"/>
      <c r="AI19" s="102" t="s">
        <v>200</v>
      </c>
    </row>
    <row r="20" spans="1:45" x14ac:dyDescent="0.25">
      <c r="A20" s="513" t="s">
        <v>256</v>
      </c>
      <c r="B20" s="513"/>
      <c r="C20" s="513"/>
      <c r="D20" s="513"/>
      <c r="E20" s="513"/>
      <c r="F20" s="513"/>
      <c r="G20" s="513"/>
      <c r="H20" s="513"/>
      <c r="I20" s="513"/>
      <c r="J20" s="103">
        <f t="shared" ref="J20:AE20" si="22">SUM(J6:J17)</f>
        <v>279390</v>
      </c>
      <c r="K20" s="103">
        <f t="shared" si="22"/>
        <v>19000</v>
      </c>
      <c r="L20" s="103">
        <f t="shared" si="22"/>
        <v>41000</v>
      </c>
      <c r="M20" s="103">
        <f t="shared" si="22"/>
        <v>1800</v>
      </c>
      <c r="N20" s="103">
        <f t="shared" si="22"/>
        <v>3000</v>
      </c>
      <c r="O20" s="103">
        <f t="shared" si="22"/>
        <v>0</v>
      </c>
      <c r="P20" s="103">
        <f t="shared" si="22"/>
        <v>1880</v>
      </c>
      <c r="Q20" s="103">
        <f t="shared" si="22"/>
        <v>346070</v>
      </c>
      <c r="R20" s="103">
        <f t="shared" si="22"/>
        <v>463.75</v>
      </c>
      <c r="S20" s="103">
        <f t="shared" si="22"/>
        <v>11.25</v>
      </c>
      <c r="T20" s="103">
        <f t="shared" si="22"/>
        <v>254780</v>
      </c>
      <c r="U20" s="103">
        <f t="shared" si="22"/>
        <v>60460</v>
      </c>
      <c r="V20" s="103">
        <f t="shared" si="22"/>
        <v>16000</v>
      </c>
      <c r="W20" s="103">
        <f t="shared" si="22"/>
        <v>38250</v>
      </c>
      <c r="X20" s="103">
        <f t="shared" si="22"/>
        <v>6210</v>
      </c>
      <c r="Y20" s="103">
        <f t="shared" si="22"/>
        <v>315240</v>
      </c>
      <c r="Z20" s="103">
        <f t="shared" si="22"/>
        <v>1160</v>
      </c>
      <c r="AA20" s="103">
        <f t="shared" si="22"/>
        <v>32110.920245398771</v>
      </c>
      <c r="AB20" s="103">
        <f t="shared" si="22"/>
        <v>3168</v>
      </c>
      <c r="AC20" s="103">
        <f t="shared" si="22"/>
        <v>123469.62655779056</v>
      </c>
      <c r="AD20" s="103">
        <f t="shared" si="22"/>
        <v>344</v>
      </c>
      <c r="AE20" s="103">
        <f t="shared" si="22"/>
        <v>53913.006134969328</v>
      </c>
      <c r="AF20" s="103" t="s">
        <v>276</v>
      </c>
      <c r="AG20" s="103">
        <f>SUM(AG6:AG17)</f>
        <v>3589413.5529381582</v>
      </c>
      <c r="AH20" s="103">
        <f>SUM(AH6:AH17)</f>
        <v>364661.12687337096</v>
      </c>
      <c r="AK20" s="103">
        <f>SUM(AK6:AK17)</f>
        <v>8.75</v>
      </c>
      <c r="AL20" s="119">
        <f t="shared" ref="AL20:AR20" si="23">SUM(AL6:AL17)</f>
        <v>2425189.4143920592</v>
      </c>
      <c r="AM20" s="119">
        <f t="shared" si="23"/>
        <v>620413.47394540953</v>
      </c>
      <c r="AN20" s="119">
        <f t="shared" si="23"/>
        <v>173538.46153846153</v>
      </c>
      <c r="AO20" s="119">
        <f t="shared" si="23"/>
        <v>391941.96029776678</v>
      </c>
      <c r="AP20" s="119">
        <f t="shared" si="23"/>
        <v>54933.052109181146</v>
      </c>
      <c r="AQ20" s="119">
        <f t="shared" si="23"/>
        <v>3045602.8883374692</v>
      </c>
      <c r="AR20" s="103">
        <f t="shared" si="23"/>
        <v>76.25</v>
      </c>
      <c r="AS20" t="s">
        <v>200</v>
      </c>
    </row>
    <row r="21" spans="1:45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AA21" s="101"/>
      <c r="AC21" s="101"/>
      <c r="AE21" s="101"/>
      <c r="AF21" s="101"/>
      <c r="AG21" s="101"/>
      <c r="AH21" s="101"/>
      <c r="AK21" t="s">
        <v>200</v>
      </c>
    </row>
    <row r="22" spans="1:45" x14ac:dyDescent="0.25">
      <c r="A22" s="518" t="s">
        <v>286</v>
      </c>
      <c r="B22" s="518"/>
      <c r="C22" s="518"/>
      <c r="D22" s="518"/>
      <c r="E22" s="518"/>
      <c r="F22" t="s">
        <v>200</v>
      </c>
      <c r="J22" t="s">
        <v>200</v>
      </c>
      <c r="M22">
        <f>SUMIF(M6:M17,600,AK6:AK17)</f>
        <v>3</v>
      </c>
      <c r="N22">
        <f>SUMIF(N6:N17,750,AK6:AK17)</f>
        <v>2.5</v>
      </c>
      <c r="O22">
        <f>SUMIF(O6:O17,x,AK6:AK17)</f>
        <v>0</v>
      </c>
      <c r="P22">
        <f>SUMIF(P6:P17,1880,AK6:AK17)</f>
        <v>0.75</v>
      </c>
      <c r="S22" t="s">
        <v>200</v>
      </c>
      <c r="T22">
        <f>SUMIF(D6:D17,1,T6:T17)</f>
        <v>36470</v>
      </c>
      <c r="U22" t="s">
        <v>200</v>
      </c>
      <c r="V22" t="s">
        <v>200</v>
      </c>
      <c r="Z22" t="s">
        <v>257</v>
      </c>
      <c r="AL22" t="s">
        <v>200</v>
      </c>
      <c r="AM22" t="s">
        <v>200</v>
      </c>
      <c r="AN22" t="s">
        <v>200</v>
      </c>
      <c r="AO22" t="s">
        <v>200</v>
      </c>
      <c r="AP22" t="s">
        <v>200</v>
      </c>
      <c r="AQ22" t="s">
        <v>200</v>
      </c>
    </row>
    <row r="23" spans="1:45" x14ac:dyDescent="0.25">
      <c r="A23" s="518"/>
      <c r="B23" s="518"/>
      <c r="C23" s="518"/>
      <c r="D23" s="518"/>
      <c r="E23" s="518"/>
      <c r="F23" t="s">
        <v>200</v>
      </c>
      <c r="J23" t="s">
        <v>200</v>
      </c>
      <c r="T23">
        <f>SUMIF(D6:D17,2,T6:T17)</f>
        <v>177910</v>
      </c>
      <c r="AI23" s="102" t="s">
        <v>200</v>
      </c>
      <c r="AL23" t="s">
        <v>200</v>
      </c>
      <c r="AM23" t="s">
        <v>200</v>
      </c>
      <c r="AN23" t="s">
        <v>200</v>
      </c>
      <c r="AO23" t="s">
        <v>200</v>
      </c>
      <c r="AP23" t="s">
        <v>200</v>
      </c>
      <c r="AQ23" t="s">
        <v>200</v>
      </c>
    </row>
    <row r="24" spans="1:45" x14ac:dyDescent="0.25">
      <c r="B24" t="s">
        <v>200</v>
      </c>
      <c r="W24" t="s">
        <v>200</v>
      </c>
      <c r="AK24" t="s">
        <v>200</v>
      </c>
      <c r="AO24" t="s">
        <v>200</v>
      </c>
      <c r="AP24" t="s">
        <v>200</v>
      </c>
    </row>
    <row r="25" spans="1:45" x14ac:dyDescent="0.25">
      <c r="R25" t="s">
        <v>200</v>
      </c>
      <c r="AL25">
        <v>395720</v>
      </c>
      <c r="AN25">
        <v>120000</v>
      </c>
      <c r="AO25">
        <v>120000</v>
      </c>
      <c r="AP25" t="s">
        <v>200</v>
      </c>
      <c r="AQ25" t="s">
        <v>200</v>
      </c>
    </row>
    <row r="26" spans="1:45" ht="38.25" x14ac:dyDescent="0.25">
      <c r="A26" s="105" t="s">
        <v>258</v>
      </c>
      <c r="B26" s="514" t="s">
        <v>259</v>
      </c>
      <c r="C26" s="514"/>
      <c r="D26" s="514"/>
      <c r="E26" s="514"/>
      <c r="F26" s="514"/>
      <c r="G26" s="514"/>
      <c r="H26" s="514"/>
      <c r="I26" s="514"/>
      <c r="J26" s="106" t="s">
        <v>260</v>
      </c>
      <c r="K26" s="106" t="s">
        <v>261</v>
      </c>
      <c r="L26" s="106" t="s">
        <v>262</v>
      </c>
      <c r="M26" s="106" t="s">
        <v>280</v>
      </c>
    </row>
    <row r="27" spans="1:45" x14ac:dyDescent="0.25">
      <c r="A27" s="103">
        <v>1</v>
      </c>
      <c r="B27" s="512" t="s">
        <v>279</v>
      </c>
      <c r="C27" s="512"/>
      <c r="D27" s="512"/>
      <c r="E27" s="512"/>
      <c r="F27" s="512"/>
      <c r="G27" s="512"/>
      <c r="H27" s="512"/>
      <c r="I27" s="512"/>
      <c r="J27" s="109">
        <v>290</v>
      </c>
      <c r="K27" s="109">
        <v>100</v>
      </c>
      <c r="L27" s="103">
        <f>J27*K27</f>
        <v>29000</v>
      </c>
      <c r="M27" s="112">
        <f>J27/2016</f>
        <v>0.14384920634920634</v>
      </c>
    </row>
    <row r="28" spans="1:45" x14ac:dyDescent="0.25">
      <c r="A28" s="103">
        <v>2</v>
      </c>
      <c r="B28" s="512"/>
      <c r="C28" s="512"/>
      <c r="D28" s="512"/>
      <c r="E28" s="512"/>
      <c r="F28" s="512"/>
      <c r="G28" s="512"/>
      <c r="H28" s="512"/>
      <c r="I28" s="512"/>
      <c r="J28" s="109">
        <v>0</v>
      </c>
      <c r="K28" s="109">
        <v>0</v>
      </c>
      <c r="L28" s="103">
        <f>J28*K28</f>
        <v>0</v>
      </c>
      <c r="M28" s="112">
        <f>J28/2016</f>
        <v>0</v>
      </c>
    </row>
    <row r="29" spans="1:45" x14ac:dyDescent="0.25">
      <c r="A29" s="103">
        <v>3</v>
      </c>
      <c r="B29" s="512"/>
      <c r="C29" s="512"/>
      <c r="D29" s="512"/>
      <c r="E29" s="512"/>
      <c r="F29" s="512"/>
      <c r="G29" s="512"/>
      <c r="H29" s="512"/>
      <c r="I29" s="512"/>
      <c r="J29" s="109">
        <v>0</v>
      </c>
      <c r="K29" s="109">
        <v>0</v>
      </c>
      <c r="L29" s="103">
        <f>J29*K29</f>
        <v>0</v>
      </c>
      <c r="M29" s="112">
        <f>J29/2016</f>
        <v>0</v>
      </c>
      <c r="AI29" s="102" t="s">
        <v>200</v>
      </c>
    </row>
    <row r="30" spans="1:45" x14ac:dyDescent="0.25">
      <c r="A30" s="103">
        <v>4</v>
      </c>
      <c r="B30" s="512"/>
      <c r="C30" s="512"/>
      <c r="D30" s="512"/>
      <c r="E30" s="512"/>
      <c r="F30" s="512"/>
      <c r="G30" s="512"/>
      <c r="H30" s="512"/>
      <c r="I30" s="512"/>
      <c r="J30" s="109">
        <v>0</v>
      </c>
      <c r="K30" s="109">
        <v>0</v>
      </c>
      <c r="L30" s="103">
        <f>J30*K30</f>
        <v>0</v>
      </c>
      <c r="M30" s="112">
        <f>J30/2016</f>
        <v>0</v>
      </c>
    </row>
    <row r="31" spans="1:45" x14ac:dyDescent="0.25">
      <c r="E31"/>
      <c r="M31" s="113"/>
    </row>
    <row r="32" spans="1:45" x14ac:dyDescent="0.25">
      <c r="A32" s="513" t="s">
        <v>263</v>
      </c>
      <c r="B32" s="513"/>
      <c r="C32" s="513"/>
      <c r="D32" s="513"/>
      <c r="E32" s="513"/>
      <c r="F32" s="513"/>
      <c r="G32" s="513"/>
      <c r="H32" s="513"/>
      <c r="I32" s="513"/>
      <c r="J32" s="103">
        <f>SUM(J27:J30)</f>
        <v>290</v>
      </c>
      <c r="K32" s="103" t="s">
        <v>200</v>
      </c>
      <c r="L32" s="103">
        <f>SUM(L27:L30)</f>
        <v>29000</v>
      </c>
      <c r="M32" s="112">
        <f>SUM(M27:M30)</f>
        <v>0.14384920634920634</v>
      </c>
    </row>
    <row r="33" spans="1:13" x14ac:dyDescent="0.25">
      <c r="J33" t="s">
        <v>200</v>
      </c>
      <c r="M33" s="113"/>
    </row>
    <row r="34" spans="1:13" ht="38.25" x14ac:dyDescent="0.25">
      <c r="A34" s="105" t="s">
        <v>264</v>
      </c>
      <c r="B34" s="514" t="s">
        <v>265</v>
      </c>
      <c r="C34" s="514"/>
      <c r="D34" s="514"/>
      <c r="E34" s="514"/>
      <c r="F34" s="514" t="s">
        <v>266</v>
      </c>
      <c r="G34" s="514"/>
      <c r="H34" s="514"/>
      <c r="I34" s="514"/>
      <c r="J34" s="106" t="s">
        <v>267</v>
      </c>
      <c r="K34" s="106" t="s">
        <v>268</v>
      </c>
      <c r="L34" s="106" t="s">
        <v>262</v>
      </c>
      <c r="M34" s="114" t="s">
        <v>280</v>
      </c>
    </row>
    <row r="35" spans="1:13" x14ac:dyDescent="0.25">
      <c r="A35" s="103">
        <v>1</v>
      </c>
      <c r="B35" s="512" t="s">
        <v>281</v>
      </c>
      <c r="C35" s="512"/>
      <c r="D35" s="512"/>
      <c r="E35" s="512"/>
      <c r="F35" s="512"/>
      <c r="G35" s="512"/>
      <c r="H35" s="512"/>
      <c r="I35" s="512"/>
      <c r="J35" s="109">
        <v>0.5</v>
      </c>
      <c r="K35" s="109">
        <v>6</v>
      </c>
      <c r="L35" s="109">
        <v>69600</v>
      </c>
      <c r="M35" s="112">
        <f>J35*K35/12</f>
        <v>0.25</v>
      </c>
    </row>
    <row r="36" spans="1:13" x14ac:dyDescent="0.25">
      <c r="A36" s="103">
        <v>2</v>
      </c>
      <c r="B36" s="512"/>
      <c r="C36" s="512"/>
      <c r="D36" s="512"/>
      <c r="E36" s="512"/>
      <c r="F36" s="512"/>
      <c r="G36" s="512"/>
      <c r="H36" s="512"/>
      <c r="I36" s="512"/>
      <c r="J36" s="109">
        <v>0</v>
      </c>
      <c r="K36" s="109">
        <v>0</v>
      </c>
      <c r="L36" s="109">
        <v>0</v>
      </c>
      <c r="M36" s="112">
        <f>J36*K36/12</f>
        <v>0</v>
      </c>
    </row>
    <row r="37" spans="1:13" x14ac:dyDescent="0.25">
      <c r="A37" s="103">
        <v>3</v>
      </c>
      <c r="B37" s="512"/>
      <c r="C37" s="512"/>
      <c r="D37" s="512"/>
      <c r="E37" s="512"/>
      <c r="F37" s="512"/>
      <c r="G37" s="512"/>
      <c r="H37" s="512"/>
      <c r="I37" s="512"/>
      <c r="J37" s="109">
        <v>0</v>
      </c>
      <c r="K37" s="109">
        <v>0</v>
      </c>
      <c r="L37" s="109">
        <v>0</v>
      </c>
      <c r="M37" s="112">
        <f>J37*K37/12</f>
        <v>0</v>
      </c>
    </row>
    <row r="38" spans="1:13" x14ac:dyDescent="0.25">
      <c r="A38" s="103">
        <v>4</v>
      </c>
      <c r="B38" s="512"/>
      <c r="C38" s="512"/>
      <c r="D38" s="512"/>
      <c r="E38" s="512"/>
      <c r="F38" s="512"/>
      <c r="G38" s="512"/>
      <c r="H38" s="512"/>
      <c r="I38" s="512"/>
      <c r="J38" s="109">
        <v>0</v>
      </c>
      <c r="K38" s="109">
        <v>0</v>
      </c>
      <c r="L38" s="109">
        <v>0</v>
      </c>
      <c r="M38" s="112">
        <f>J38*K38/12</f>
        <v>0</v>
      </c>
    </row>
    <row r="39" spans="1:13" x14ac:dyDescent="0.25">
      <c r="M39" s="113"/>
    </row>
    <row r="40" spans="1:13" x14ac:dyDescent="0.25">
      <c r="A40" s="513" t="s">
        <v>269</v>
      </c>
      <c r="B40" s="513"/>
      <c r="C40" s="513"/>
      <c r="D40" s="513"/>
      <c r="E40" s="513"/>
      <c r="F40" s="513"/>
      <c r="G40" s="513"/>
      <c r="H40" s="513"/>
      <c r="I40" s="513"/>
      <c r="J40" s="103">
        <f>SUM(J35:J38)</f>
        <v>0.5</v>
      </c>
      <c r="K40" s="103"/>
      <c r="L40" s="103">
        <f>SUM(L35:L38)</f>
        <v>69600</v>
      </c>
      <c r="M40" s="112">
        <f>SUM(M35:M38)</f>
        <v>0.25</v>
      </c>
    </row>
    <row r="44" spans="1:13" x14ac:dyDescent="0.25">
      <c r="B44" s="109" t="s">
        <v>274</v>
      </c>
      <c r="C44" s="109"/>
      <c r="D44" s="109"/>
      <c r="F44" t="s">
        <v>200</v>
      </c>
    </row>
  </sheetData>
  <mergeCells count="43">
    <mergeCell ref="AR3:AR4"/>
    <mergeCell ref="A40:I40"/>
    <mergeCell ref="AK3:AK4"/>
    <mergeCell ref="AL3:AQ3"/>
    <mergeCell ref="A22:E23"/>
    <mergeCell ref="G3:H3"/>
    <mergeCell ref="B37:E37"/>
    <mergeCell ref="F37:I37"/>
    <mergeCell ref="B38:E38"/>
    <mergeCell ref="F38:I38"/>
    <mergeCell ref="A3:A4"/>
    <mergeCell ref="B3:B4"/>
    <mergeCell ref="C3:C4"/>
    <mergeCell ref="D3:D4"/>
    <mergeCell ref="E3:F3"/>
    <mergeCell ref="B35:E35"/>
    <mergeCell ref="F35:I35"/>
    <mergeCell ref="B36:E36"/>
    <mergeCell ref="F36:I36"/>
    <mergeCell ref="A20:I20"/>
    <mergeCell ref="B26:I26"/>
    <mergeCell ref="B27:I27"/>
    <mergeCell ref="B28:I28"/>
    <mergeCell ref="B29:I29"/>
    <mergeCell ref="B30:I30"/>
    <mergeCell ref="A32:I32"/>
    <mergeCell ref="B34:E34"/>
    <mergeCell ref="F34:I34"/>
    <mergeCell ref="AI3:AI4"/>
    <mergeCell ref="I3:I4"/>
    <mergeCell ref="J3:J4"/>
    <mergeCell ref="K3:P3"/>
    <mergeCell ref="Q3:Q4"/>
    <mergeCell ref="R3:R4"/>
    <mergeCell ref="S3:S4"/>
    <mergeCell ref="AF3:AF4"/>
    <mergeCell ref="AH3:AH4"/>
    <mergeCell ref="T3:X3"/>
    <mergeCell ref="Y3:Y4"/>
    <mergeCell ref="Z3:AA3"/>
    <mergeCell ref="AB3:AC3"/>
    <mergeCell ref="AD3:AE3"/>
    <mergeCell ref="AG3:AG4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7</vt:i4>
      </vt:variant>
    </vt:vector>
  </HeadingPairs>
  <TitlesOfParts>
    <vt:vector size="19" baseType="lpstr">
      <vt:lpstr>Úvod</vt:lpstr>
      <vt:lpstr>P1 N a V</vt:lpstr>
      <vt:lpstr>P1a N (AU)</vt:lpstr>
      <vt:lpstr>P1b N a V (služby)</vt:lpstr>
      <vt:lpstr>P1c N (služby celkem)</vt:lpstr>
      <vt:lpstr>P2 Bilance fondů</vt:lpstr>
      <vt:lpstr>P3 Doplň. ukazatele</vt:lpstr>
      <vt:lpstr>P3a Doplň. ukazatele (mzdy)</vt:lpstr>
      <vt:lpstr>Mzdy</vt:lpstr>
      <vt:lpstr>P4 Plán - investice</vt:lpstr>
      <vt:lpstr>P5 Plán - odpisy</vt:lpstr>
      <vt:lpstr>P6 Výhled 2025-2027</vt:lpstr>
      <vt:lpstr>Úvod!Doplňte_název_organizace</vt:lpstr>
      <vt:lpstr>'P1 N a V'!Oblast_tisku</vt:lpstr>
      <vt:lpstr>'P1a N (AU)'!Oblast_tisku</vt:lpstr>
      <vt:lpstr>'P2 Bilance fondů'!Oblast_tisku</vt:lpstr>
      <vt:lpstr>'P3a Doplň. ukazatele (mzdy)'!Oblast_tisku</vt:lpstr>
      <vt:lpstr>'P4 Plán - investice'!Oblast_tisku</vt:lpstr>
      <vt:lpstr>'P6 Výhled 2025-2027'!Oblast_tisku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Kremerová Luisa</dc:creator>
  <cp:lastModifiedBy>Ekonom - Domov Raspenava</cp:lastModifiedBy>
  <cp:lastPrinted>2025-04-03T07:40:55Z</cp:lastPrinted>
  <dcterms:created xsi:type="dcterms:W3CDTF">2017-07-03T06:54:22Z</dcterms:created>
  <dcterms:modified xsi:type="dcterms:W3CDTF">2025-04-03T08:36:36Z</dcterms:modified>
</cp:coreProperties>
</file>